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Hoja1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5" i="1" l="1"/>
  <c r="N231" i="1"/>
  <c r="N206" i="1"/>
  <c r="N182" i="1"/>
  <c r="N155" i="1"/>
  <c r="N131" i="1"/>
  <c r="N106" i="1"/>
  <c r="N82" i="1"/>
  <c r="N57" i="1"/>
  <c r="N33" i="1"/>
  <c r="N205" i="1" l="1"/>
  <c r="N254" i="1" l="1"/>
  <c r="N230" i="1"/>
  <c r="N181" i="1"/>
  <c r="N154" i="1"/>
  <c r="N130" i="1"/>
  <c r="N105" i="1"/>
  <c r="N81" i="1"/>
  <c r="N56" i="1"/>
  <c r="N32" i="1"/>
  <c r="N253" i="1" l="1"/>
  <c r="N229" i="1"/>
  <c r="N204" i="1"/>
  <c r="N180" i="1"/>
  <c r="N153" i="1"/>
  <c r="N129" i="1"/>
  <c r="N104" i="1"/>
  <c r="N80" i="1"/>
  <c r="N55" i="1"/>
  <c r="N31" i="1"/>
  <c r="N179" i="1" l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252" i="1" l="1"/>
  <c r="N228" i="1"/>
  <c r="N203" i="1"/>
  <c r="N152" i="1"/>
  <c r="N128" i="1"/>
  <c r="N103" i="1"/>
  <c r="N79" i="1"/>
  <c r="N54" i="1"/>
  <c r="N30" i="1"/>
  <c r="N78" i="1" l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L112" i="1" l="1"/>
  <c r="N187" i="1" l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186" i="1"/>
  <c r="N251" i="1" l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N20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K112" i="1"/>
  <c r="J112" i="1"/>
  <c r="I112" i="1"/>
  <c r="H112" i="1"/>
  <c r="G112" i="1"/>
  <c r="F112" i="1"/>
  <c r="E112" i="1"/>
  <c r="D112" i="1"/>
  <c r="C112" i="1"/>
  <c r="B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N62" i="1" l="1"/>
  <c r="N63" i="1"/>
  <c r="N64" i="1"/>
  <c r="N235" i="1"/>
  <c r="N236" i="1"/>
  <c r="N212" i="1"/>
  <c r="N211" i="1"/>
  <c r="N137" i="1"/>
  <c r="N135" i="1"/>
  <c r="N136" i="1"/>
  <c r="N112" i="1"/>
  <c r="N111" i="1"/>
  <c r="N113" i="1"/>
  <c r="N86" i="1"/>
  <c r="N87" i="1"/>
  <c r="N88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38" i="1" l="1"/>
  <c r="N37" i="1"/>
  <c r="N39" i="1"/>
  <c r="N13" i="1"/>
  <c r="N14" i="1"/>
  <c r="N15" i="1"/>
</calcChain>
</file>

<file path=xl/sharedStrings.xml><?xml version="1.0" encoding="utf-8"?>
<sst xmlns="http://schemas.openxmlformats.org/spreadsheetml/2006/main" count="167" uniqueCount="35">
  <si>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</si>
  <si>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</si>
  <si>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</si>
  <si>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</si>
  <si>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</si>
  <si>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</si>
  <si>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</si>
  <si>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</si>
  <si>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</si>
  <si>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</si>
  <si>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</si>
  <si>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</si>
  <si>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</si>
  <si>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</si>
  <si>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</si>
  <si>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</si>
  <si>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</si>
  <si>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</si>
  <si>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</si>
  <si>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</si>
  <si>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</si>
  <si>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</si>
  <si>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</si>
  <si>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</si>
  <si>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</si>
  <si>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</si>
  <si>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</si>
  <si>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</si>
  <si>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</si>
  <si>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</si>
  <si>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</si>
  <si>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</si>
  <si>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</si>
  <si>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</si>
  <si>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2001-2021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</si>
</sst>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/>
    <xf numFmtId="2" fontId="4" fillId="0" borderId="0" xfId="0" applyNumberFormat="1" applyFont="1" applyAlignment="1"/>
    <xf numFmtId="2" fontId="0" fillId="0" borderId="0" xfId="0" applyNumberFormat="1" applyFont="1" applyFill="1" applyBorder="1"/>
    <xf numFmtId="2" fontId="6" fillId="0" borderId="0" xfId="0" applyNumberFormat="1" applyFont="1"/>
    <xf numFmtId="0" fontId="8" fillId="0" borderId="0" xfId="1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Fill="1" applyBorder="1"/>
    <xf numFmtId="0" fontId="9" fillId="0" borderId="0" xfId="0" applyNumberFormat="1" applyFont="1"/>
    <xf numFmtId="0" fontId="0" fillId="0" borderId="0" xfId="0" applyNumberFormat="1"/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</cellXfs>
  <cellStyles count="2">
    <cellStyle name="Encabezado 4" xfId="1" builtinId="19"/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442868</xdr:colOff>
      <xdr:row>0</xdr:row>
      <xdr:rowOff>0</xdr:rowOff>
    </xdr:from>
    <xdr:to>
      <xdr:col>13</xdr:col>
      <xdr:colOff>988919</xdr:colOff>
      <xdr:row>3</xdr:row>
      <xdr:rowOff>47624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943" y="0"/>
          <a:ext cx="1622376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2:N33" headerRowDxfId="162" dataDxfId="161" totalsRowDxfId="160">
  <autoFilter ref="A12:N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AVERAGE(B13:M13)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34:N255" totalsRowShown="0" headerRowDxfId="15" dataDxfId="14">
  <autoFilter ref="A234:N2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AVERAGE(B235:M235)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6:N57" totalsRowShown="0" headerRowDxfId="144" dataDxfId="143">
  <autoFilter ref="A36:N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AVERAGE(B37:M37)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1:N82" headerRowDxfId="128" dataDxfId="127" totalsRowDxfId="126">
  <autoFilter ref="A61:N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AVERAGE(B62:M62)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85:N106" totalsRowShown="0" headerRowDxfId="111" dataDxfId="110">
  <autoFilter ref="A85:N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AVERAGE(B86:M86)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0:N131" totalsRowShown="0" headerRowDxfId="95" dataDxfId="94">
  <autoFilter ref="A110:N1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AVERAGE(B111:M111)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34:N155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AVERAGE(B135:M135)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61:N182" totalsRowShown="0" headerRowDxfId="63" dataDxfId="62">
  <autoFilter ref="A161:N1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AVERAGE(B162:M162)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85:N206" totalsRowShown="0" headerRowDxfId="47" dataDxfId="46">
  <autoFilter ref="A185:N2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AVERAGE(B186:M186)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10:N231" totalsRowShown="0" headerRowDxfId="31" dataDxfId="30">
  <autoFilter ref="A210:N2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AVERAGE(B211:M211)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tabSelected="1" zoomScaleNormal="100" workbookViewId="0">
      <selection activeCell="E231" sqref="E231"/>
    </sheetView>
  </sheetViews>
  <sheetFormatPr baseColWidth="10" defaultColWidth="11.42578125" defaultRowHeight="15" x14ac:dyDescent="0.25"/>
  <cols>
    <col min="1" max="1" width="11.42578125" style="16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20.25" customHeight="1" x14ac:dyDescent="0.25">
      <c r="A1" s="10"/>
    </row>
    <row r="2" spans="1:18" ht="18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"/>
      <c r="P2" s="4"/>
      <c r="Q2" s="4"/>
    </row>
    <row r="3" spans="1:18" ht="1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5"/>
      <c r="P3" s="5"/>
      <c r="Q3" s="5"/>
    </row>
    <row r="4" spans="1:18" ht="18" x14ac:dyDescent="0.25">
      <c r="A4" s="29" t="s">
        <v>30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4"/>
      <c r="P4" s="4"/>
      <c r="Q4" s="4"/>
    </row>
    <row r="5" spans="1:18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ht="18" x14ac:dyDescent="0.25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"/>
      <c r="P6" s="4"/>
      <c r="Q6" s="4"/>
      <c r="R6" s="4"/>
    </row>
    <row r="7" spans="1:18" ht="18" x14ac:dyDescent="0.25">
      <c r="A7" s="29" t="s">
        <v>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4"/>
      <c r="P7" s="4"/>
      <c r="Q7" s="4"/>
      <c r="R7" s="4"/>
    </row>
    <row r="8" spans="1:18" ht="18" x14ac:dyDescent="0.25">
      <c r="A8" s="29" t="s">
        <v>34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4"/>
      <c r="P8" s="4"/>
      <c r="Q8" s="4"/>
      <c r="R8" s="4"/>
    </row>
    <row r="9" spans="1:18" ht="18" x14ac:dyDescent="0.25">
      <c r="A9" s="32" t="s">
        <v>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4"/>
      <c r="P9" s="4"/>
      <c r="Q9" s="4"/>
      <c r="R9" s="4"/>
    </row>
    <row r="10" spans="1:18" ht="20.25" x14ac:dyDescent="0.3">
      <c r="A10" s="28" t="s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6"/>
      <c r="P10" s="6"/>
      <c r="Q10" s="6"/>
      <c r="R10" s="6"/>
    </row>
    <row r="11" spans="1:18" ht="18" x14ac:dyDescent="0.25">
      <c r="A11" s="27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7"/>
      <c r="P11" s="7"/>
      <c r="Q11" s="7"/>
      <c r="R11" s="7"/>
    </row>
    <row r="12" spans="1:18" x14ac:dyDescent="0.25">
      <c r="A12" s="11" t="s">
        <v>20</v>
      </c>
      <c r="B12" s="1" t="s">
        <v>7</v>
      </c>
      <c r="C12" s="1" t="s">
        <v>8</v>
      </c>
      <c r="D12" s="1" t="s">
        <v>9</v>
      </c>
      <c r="E12" s="1" t="s">
        <v>10</v>
      </c>
      <c r="F12" s="1" t="s">
        <v>11</v>
      </c>
      <c r="G12" s="1" t="s">
        <v>12</v>
      </c>
      <c r="H12" s="1" t="s">
        <v>13</v>
      </c>
      <c r="I12" s="1" t="s">
        <v>14</v>
      </c>
      <c r="J12" s="1" t="s">
        <v>15</v>
      </c>
      <c r="K12" s="1" t="s">
        <v>16</v>
      </c>
      <c r="L12" s="1" t="s">
        <v>17</v>
      </c>
      <c r="M12" s="1" t="s">
        <v>18</v>
      </c>
      <c r="N12" s="8" t="s">
        <v>19</v>
      </c>
    </row>
    <row r="13" spans="1:18" x14ac:dyDescent="0.25">
      <c r="A13" s="11">
        <v>2001</v>
      </c>
      <c r="B13" s="1">
        <v>0.1462857142857143</v>
      </c>
      <c r="C13" s="1">
        <v>0.14514285714285716</v>
      </c>
      <c r="D13" s="1">
        <v>0.1542857142857143</v>
      </c>
      <c r="E13" s="1">
        <v>0.16</v>
      </c>
      <c r="F13" s="1">
        <v>0.15885714285714284</v>
      </c>
      <c r="G13" s="1">
        <v>0.16685714285714284</v>
      </c>
      <c r="H13" s="1">
        <v>0.192</v>
      </c>
      <c r="I13" s="1">
        <v>0.17142857142857143</v>
      </c>
      <c r="J13" s="1">
        <v>0.15542857142857144</v>
      </c>
      <c r="K13" s="1">
        <v>0.13714285714285715</v>
      </c>
      <c r="L13" s="1">
        <v>0.13142857142857142</v>
      </c>
      <c r="M13" s="1">
        <v>0.11885714285714286</v>
      </c>
      <c r="N13" s="1">
        <f t="shared" ref="N13:N29" si="0">AVERAGE(B13:M13)</f>
        <v>0.15314285714285716</v>
      </c>
    </row>
    <row r="14" spans="1:18" x14ac:dyDescent="0.25">
      <c r="A14" s="11">
        <v>2002</v>
      </c>
      <c r="B14" s="1">
        <v>0.128</v>
      </c>
      <c r="C14" s="1">
        <v>0.12571428571428572</v>
      </c>
      <c r="D14" s="1">
        <v>0.12914285714285714</v>
      </c>
      <c r="E14" s="1">
        <v>0.13714285714285715</v>
      </c>
      <c r="F14" s="1">
        <v>0.13257142857142856</v>
      </c>
      <c r="G14" s="1">
        <v>0.12571428571428572</v>
      </c>
      <c r="H14" s="1">
        <v>0.12228571428571429</v>
      </c>
      <c r="I14" s="1">
        <v>0.11428571428571428</v>
      </c>
      <c r="J14" s="1">
        <v>0.11314285714285714</v>
      </c>
      <c r="K14" s="1">
        <v>0.112</v>
      </c>
      <c r="L14" s="1">
        <v>0.11085714285714285</v>
      </c>
      <c r="M14" s="1">
        <v>0.112</v>
      </c>
      <c r="N14" s="1">
        <f t="shared" si="0"/>
        <v>0.12190476190476192</v>
      </c>
    </row>
    <row r="15" spans="1:18" x14ac:dyDescent="0.25">
      <c r="A15" s="11">
        <v>2003</v>
      </c>
      <c r="B15" s="1">
        <v>0.11085714285714285</v>
      </c>
      <c r="C15" s="1">
        <v>0.11428571428571428</v>
      </c>
      <c r="D15" s="1">
        <v>0.11085714285714285</v>
      </c>
      <c r="E15" s="1">
        <v>0.11314285714285714</v>
      </c>
      <c r="F15" s="1">
        <v>0.11314285714285714</v>
      </c>
      <c r="G15" s="1">
        <v>0.112</v>
      </c>
      <c r="H15" s="1">
        <v>0.12342857142857144</v>
      </c>
      <c r="I15" s="1">
        <v>0.13485714285714284</v>
      </c>
      <c r="J15" s="1">
        <v>0.13714285714285715</v>
      </c>
      <c r="K15" s="1">
        <v>0.13418903150525086</v>
      </c>
      <c r="L15" s="1">
        <v>0.12914285714285714</v>
      </c>
      <c r="M15" s="1">
        <v>0.12114285714285715</v>
      </c>
      <c r="N15" s="1">
        <f t="shared" si="0"/>
        <v>0.12118241929210427</v>
      </c>
    </row>
    <row r="16" spans="1:18" x14ac:dyDescent="0.25">
      <c r="A16" s="11">
        <v>2004</v>
      </c>
      <c r="B16" s="1">
        <v>0.13</v>
      </c>
      <c r="C16" s="1">
        <v>0.14000000000000001</v>
      </c>
      <c r="D16" s="1">
        <v>0.16</v>
      </c>
      <c r="E16" s="1">
        <v>0.15</v>
      </c>
      <c r="F16" s="1">
        <v>0.15</v>
      </c>
      <c r="G16" s="1">
        <v>0.16</v>
      </c>
      <c r="H16" s="1">
        <v>0.2</v>
      </c>
      <c r="I16" s="1">
        <v>0.2</v>
      </c>
      <c r="J16" s="1">
        <v>0.19</v>
      </c>
      <c r="K16" s="1">
        <v>0.17</v>
      </c>
      <c r="L16" s="1">
        <v>0.16</v>
      </c>
      <c r="M16" s="1">
        <v>0.15</v>
      </c>
      <c r="N16" s="1">
        <f t="shared" si="0"/>
        <v>0.1633333333333333</v>
      </c>
    </row>
    <row r="17" spans="1:14" x14ac:dyDescent="0.25">
      <c r="A17" s="11">
        <v>2005</v>
      </c>
      <c r="B17" s="1">
        <v>0.16</v>
      </c>
      <c r="C17" s="1">
        <v>0.15</v>
      </c>
      <c r="D17" s="1">
        <v>0.16</v>
      </c>
      <c r="E17" s="1">
        <v>0.18</v>
      </c>
      <c r="F17" s="1">
        <v>0.18</v>
      </c>
      <c r="G17" s="1">
        <v>0.18</v>
      </c>
      <c r="H17" s="1">
        <v>0.18</v>
      </c>
      <c r="I17" s="1">
        <v>0.18</v>
      </c>
      <c r="J17" s="1">
        <v>0.17</v>
      </c>
      <c r="K17" s="1">
        <v>0.17</v>
      </c>
      <c r="L17" s="1">
        <v>0.15</v>
      </c>
      <c r="M17" s="1">
        <v>0.15</v>
      </c>
      <c r="N17" s="1">
        <f t="shared" si="0"/>
        <v>0.16749999999999995</v>
      </c>
    </row>
    <row r="18" spans="1:14" x14ac:dyDescent="0.25">
      <c r="A18" s="11">
        <v>2006</v>
      </c>
      <c r="B18" s="1">
        <v>0.14000000000000001</v>
      </c>
      <c r="C18" s="1">
        <v>0.13</v>
      </c>
      <c r="D18" s="1">
        <v>0.14000000000000001</v>
      </c>
      <c r="E18" s="1">
        <v>0.14000000000000001</v>
      </c>
      <c r="F18" s="1">
        <v>0.14000000000000001</v>
      </c>
      <c r="G18" s="1">
        <v>0.15</v>
      </c>
      <c r="H18" s="1">
        <v>0.15</v>
      </c>
      <c r="I18" s="1">
        <v>0.15</v>
      </c>
      <c r="J18" s="1">
        <v>0.16</v>
      </c>
      <c r="K18" s="1">
        <v>0.15</v>
      </c>
      <c r="L18" s="1">
        <v>0.16</v>
      </c>
      <c r="M18" s="1">
        <v>0.16</v>
      </c>
      <c r="N18" s="1">
        <f t="shared" si="0"/>
        <v>0.14749999999999999</v>
      </c>
    </row>
    <row r="19" spans="1:14" x14ac:dyDescent="0.25">
      <c r="A19" s="11">
        <v>2007</v>
      </c>
      <c r="B19" s="1">
        <v>0.16</v>
      </c>
      <c r="C19" s="1">
        <v>0.17</v>
      </c>
      <c r="D19" s="1">
        <v>0.18</v>
      </c>
      <c r="E19" s="1">
        <v>0.19</v>
      </c>
      <c r="F19" s="1">
        <v>0.21</v>
      </c>
      <c r="G19" s="1">
        <v>0.26</v>
      </c>
      <c r="H19" s="1">
        <v>0.26</v>
      </c>
      <c r="I19" s="1">
        <v>0.26</v>
      </c>
      <c r="J19" s="1">
        <v>0.26</v>
      </c>
      <c r="K19" s="1">
        <v>0.24</v>
      </c>
      <c r="L19" s="1">
        <v>0.21</v>
      </c>
      <c r="M19" s="1">
        <v>0.21</v>
      </c>
      <c r="N19" s="1">
        <f t="shared" si="0"/>
        <v>0.2175</v>
      </c>
    </row>
    <row r="20" spans="1:14" x14ac:dyDescent="0.25">
      <c r="A20" s="11">
        <v>2008</v>
      </c>
      <c r="B20" s="1">
        <v>0.22</v>
      </c>
      <c r="C20" s="1">
        <v>0.22</v>
      </c>
      <c r="D20" s="1">
        <v>0.22</v>
      </c>
      <c r="E20" s="1">
        <v>0.23</v>
      </c>
      <c r="F20" s="1">
        <v>0.23</v>
      </c>
      <c r="G20" s="1">
        <v>0.25</v>
      </c>
      <c r="H20" s="1">
        <v>0.25</v>
      </c>
      <c r="I20" s="1">
        <v>0.24</v>
      </c>
      <c r="J20" s="1">
        <v>0.23</v>
      </c>
      <c r="K20" s="1">
        <v>0.21</v>
      </c>
      <c r="L20" s="1">
        <v>0.21</v>
      </c>
      <c r="M20" s="1">
        <v>0.22</v>
      </c>
      <c r="N20" s="1">
        <f t="shared" si="0"/>
        <v>0.22750000000000004</v>
      </c>
    </row>
    <row r="21" spans="1:14" x14ac:dyDescent="0.25">
      <c r="A21" s="11">
        <v>2009</v>
      </c>
      <c r="B21" s="1">
        <v>0.22</v>
      </c>
      <c r="C21" s="1">
        <v>0.22</v>
      </c>
      <c r="D21" s="1">
        <v>0.23</v>
      </c>
      <c r="E21" s="1">
        <v>0.23</v>
      </c>
      <c r="F21" s="1">
        <v>0.23</v>
      </c>
      <c r="G21" s="1">
        <v>0.23</v>
      </c>
      <c r="H21" s="1">
        <v>0.23</v>
      </c>
      <c r="I21" s="1">
        <v>0.23</v>
      </c>
      <c r="J21" s="1">
        <v>0.21</v>
      </c>
      <c r="K21" s="1">
        <v>0.2</v>
      </c>
      <c r="L21" s="1">
        <v>0.19</v>
      </c>
      <c r="M21" s="1">
        <v>0.19</v>
      </c>
      <c r="N21" s="1">
        <f t="shared" si="0"/>
        <v>0.21750000000000003</v>
      </c>
    </row>
    <row r="22" spans="1:14" x14ac:dyDescent="0.25">
      <c r="A22" s="11">
        <v>2010</v>
      </c>
      <c r="B22" s="1">
        <v>0.19</v>
      </c>
      <c r="C22" s="1">
        <v>0.19</v>
      </c>
      <c r="D22" s="1">
        <v>0.19</v>
      </c>
      <c r="E22" s="1">
        <v>0.2</v>
      </c>
      <c r="F22" s="1">
        <v>0.19</v>
      </c>
      <c r="G22" s="1">
        <v>0.19</v>
      </c>
      <c r="H22" s="1">
        <v>0.19</v>
      </c>
      <c r="I22" s="1">
        <v>0.2</v>
      </c>
      <c r="J22" s="1">
        <v>0.22</v>
      </c>
      <c r="K22" s="1">
        <v>0.2</v>
      </c>
      <c r="L22" s="1">
        <v>0.21</v>
      </c>
      <c r="M22" s="1">
        <v>0.21</v>
      </c>
      <c r="N22" s="1">
        <f t="shared" si="0"/>
        <v>0.19833333333333333</v>
      </c>
    </row>
    <row r="23" spans="1:14" x14ac:dyDescent="0.25">
      <c r="A23" s="11">
        <v>2011</v>
      </c>
      <c r="B23" s="1">
        <v>0.25</v>
      </c>
      <c r="C23" s="1">
        <v>0.25</v>
      </c>
      <c r="D23" s="1">
        <v>0.26</v>
      </c>
      <c r="E23" s="1">
        <v>0.28999999999999998</v>
      </c>
      <c r="F23" s="1">
        <v>0.3</v>
      </c>
      <c r="G23" s="1">
        <v>0.37</v>
      </c>
      <c r="H23" s="1">
        <v>0.37</v>
      </c>
      <c r="I23" s="1">
        <v>0.36</v>
      </c>
      <c r="J23" s="1">
        <v>0.33</v>
      </c>
      <c r="K23" s="1">
        <v>0.28999999999999998</v>
      </c>
      <c r="L23" s="1">
        <v>0.26</v>
      </c>
      <c r="M23" s="1">
        <v>0.26</v>
      </c>
      <c r="N23" s="1">
        <f t="shared" si="0"/>
        <v>0.29916666666666664</v>
      </c>
    </row>
    <row r="24" spans="1:14" x14ac:dyDescent="0.25">
      <c r="A24" s="11">
        <v>2012</v>
      </c>
      <c r="B24" s="1">
        <v>0.25</v>
      </c>
      <c r="C24" s="1">
        <v>0.25</v>
      </c>
      <c r="D24" s="1">
        <v>0.24</v>
      </c>
      <c r="E24" s="1">
        <v>0.24</v>
      </c>
      <c r="F24" s="1">
        <v>0.25</v>
      </c>
      <c r="G24" s="1">
        <v>0.24</v>
      </c>
      <c r="H24" s="1">
        <v>0.23</v>
      </c>
      <c r="I24" s="1">
        <v>0.24</v>
      </c>
      <c r="J24" s="1">
        <v>0.22</v>
      </c>
      <c r="K24" s="1">
        <v>0.19</v>
      </c>
      <c r="L24" s="1">
        <v>0.19</v>
      </c>
      <c r="M24" s="1">
        <v>0.19</v>
      </c>
      <c r="N24" s="1">
        <f t="shared" si="0"/>
        <v>0.22750000000000001</v>
      </c>
    </row>
    <row r="25" spans="1:14" x14ac:dyDescent="0.25">
      <c r="A25" s="11">
        <v>2013</v>
      </c>
      <c r="B25" s="1">
        <v>0.19</v>
      </c>
      <c r="C25" s="1">
        <v>0.19</v>
      </c>
      <c r="D25" s="1">
        <v>0.19</v>
      </c>
      <c r="E25" s="1">
        <v>0.21</v>
      </c>
      <c r="F25" s="1">
        <v>0.21</v>
      </c>
      <c r="G25" s="1">
        <v>0.2</v>
      </c>
      <c r="H25" s="1">
        <v>0.2</v>
      </c>
      <c r="I25" s="1">
        <v>0.2</v>
      </c>
      <c r="J25" s="1">
        <v>0.2</v>
      </c>
      <c r="K25" s="1">
        <v>0.2</v>
      </c>
      <c r="L25" s="1">
        <v>0.19</v>
      </c>
      <c r="M25" s="1">
        <v>0.19</v>
      </c>
      <c r="N25" s="1">
        <f t="shared" si="0"/>
        <v>0.19749999999999998</v>
      </c>
    </row>
    <row r="26" spans="1:14" x14ac:dyDescent="0.25">
      <c r="A26" s="11">
        <v>2014</v>
      </c>
      <c r="B26" s="1">
        <v>0.18</v>
      </c>
      <c r="C26" s="1">
        <v>0.19</v>
      </c>
      <c r="D26" s="1">
        <v>0.19</v>
      </c>
      <c r="E26" s="1">
        <v>0.19</v>
      </c>
      <c r="F26" s="1">
        <v>0.19</v>
      </c>
      <c r="G26" s="1">
        <v>0.22</v>
      </c>
      <c r="H26" s="1">
        <v>0.24</v>
      </c>
      <c r="I26" s="1">
        <v>0.25</v>
      </c>
      <c r="J26" s="1">
        <v>0.24</v>
      </c>
      <c r="K26" s="1">
        <v>0.24</v>
      </c>
      <c r="L26" s="1">
        <v>0.24</v>
      </c>
      <c r="M26" s="1">
        <v>0.24</v>
      </c>
      <c r="N26" s="1">
        <f t="shared" si="0"/>
        <v>0.21750000000000003</v>
      </c>
    </row>
    <row r="27" spans="1:14" x14ac:dyDescent="0.25">
      <c r="A27" s="11">
        <v>2015</v>
      </c>
      <c r="B27" s="1">
        <v>0.25</v>
      </c>
      <c r="C27" s="1">
        <v>0.23</v>
      </c>
      <c r="D27" s="1">
        <v>0.25</v>
      </c>
      <c r="E27" s="1">
        <v>0.24</v>
      </c>
      <c r="F27" s="1">
        <v>0.23</v>
      </c>
      <c r="G27" s="1">
        <v>0.23</v>
      </c>
      <c r="H27" s="1">
        <v>0.27</v>
      </c>
      <c r="I27" s="1">
        <v>0.25</v>
      </c>
      <c r="J27" s="1">
        <v>0.25</v>
      </c>
      <c r="K27" s="1">
        <v>0.24</v>
      </c>
      <c r="L27" s="1">
        <v>0.23</v>
      </c>
      <c r="M27" s="1">
        <v>0.22</v>
      </c>
      <c r="N27" s="1">
        <f t="shared" si="0"/>
        <v>0.24083333333333337</v>
      </c>
    </row>
    <row r="28" spans="1:14" x14ac:dyDescent="0.25">
      <c r="A28" s="11">
        <v>2016</v>
      </c>
      <c r="B28" s="1">
        <v>0.23</v>
      </c>
      <c r="C28" s="1">
        <v>0.23</v>
      </c>
      <c r="D28" s="1">
        <v>0.23</v>
      </c>
      <c r="E28" s="1">
        <v>0.22</v>
      </c>
      <c r="F28" s="1">
        <v>0.22</v>
      </c>
      <c r="G28" s="1">
        <v>0.22</v>
      </c>
      <c r="H28" s="1">
        <v>0.22</v>
      </c>
      <c r="I28" s="1">
        <v>0.22</v>
      </c>
      <c r="J28" s="1">
        <v>0.23</v>
      </c>
      <c r="K28" s="1">
        <v>0.21</v>
      </c>
      <c r="L28" s="1">
        <v>0.2</v>
      </c>
      <c r="M28" s="1">
        <v>0.2</v>
      </c>
      <c r="N28" s="1">
        <f t="shared" si="0"/>
        <v>0.2191666666666667</v>
      </c>
    </row>
    <row r="29" spans="1:14" x14ac:dyDescent="0.25">
      <c r="A29" s="11">
        <v>2017</v>
      </c>
      <c r="B29" s="2">
        <v>0.2</v>
      </c>
      <c r="C29" s="2">
        <v>0.2</v>
      </c>
      <c r="D29" s="2">
        <v>0.2</v>
      </c>
      <c r="E29" s="2">
        <v>0.2</v>
      </c>
      <c r="F29" s="2">
        <v>0.2</v>
      </c>
      <c r="G29" s="2">
        <v>0.19</v>
      </c>
      <c r="H29" s="2">
        <v>0.19</v>
      </c>
      <c r="I29" s="2">
        <v>0.19</v>
      </c>
      <c r="J29" s="2">
        <v>0.19</v>
      </c>
      <c r="K29" s="2">
        <v>0.19</v>
      </c>
      <c r="L29" s="2">
        <v>0.19</v>
      </c>
      <c r="M29" s="2">
        <v>0.18</v>
      </c>
      <c r="N29" s="2">
        <f t="shared" si="0"/>
        <v>0.19333333333333333</v>
      </c>
    </row>
    <row r="30" spans="1:14" x14ac:dyDescent="0.25">
      <c r="A30" s="11">
        <v>2018</v>
      </c>
      <c r="B30" s="2">
        <v>0.15</v>
      </c>
      <c r="C30" s="2">
        <v>0.15</v>
      </c>
      <c r="D30" s="2">
        <v>0.18</v>
      </c>
      <c r="E30" s="2">
        <v>0.18</v>
      </c>
      <c r="F30" s="2">
        <v>0.18</v>
      </c>
      <c r="G30" s="2">
        <v>0.2</v>
      </c>
      <c r="H30" s="2">
        <v>0.24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>AVERAGE(B30:M30)</f>
        <v>0.21083333333333332</v>
      </c>
    </row>
    <row r="31" spans="1:14" x14ac:dyDescent="0.25">
      <c r="A31" s="11">
        <v>2019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0.25</v>
      </c>
      <c r="K31" s="2">
        <v>0.25</v>
      </c>
      <c r="L31" s="2">
        <v>0.25</v>
      </c>
      <c r="M31" s="2">
        <v>0.25</v>
      </c>
      <c r="N31" s="2">
        <f>AVERAGE(B31:M31)</f>
        <v>0.25</v>
      </c>
    </row>
    <row r="32" spans="1:14" x14ac:dyDescent="0.25">
      <c r="A32" s="11">
        <v>2020</v>
      </c>
      <c r="B32" s="2">
        <v>0.25</v>
      </c>
      <c r="C32" s="2">
        <v>0.25</v>
      </c>
      <c r="D32" s="2">
        <v>0.25</v>
      </c>
      <c r="E32" s="2">
        <v>0.25</v>
      </c>
      <c r="F32" s="2">
        <v>0.25</v>
      </c>
      <c r="G32" s="2">
        <v>0.25</v>
      </c>
      <c r="H32" s="2">
        <v>0.25</v>
      </c>
      <c r="I32" s="2">
        <v>0.25</v>
      </c>
      <c r="J32" s="2">
        <v>0.23182989690721637</v>
      </c>
      <c r="K32" s="2">
        <v>0.20022421524663839</v>
      </c>
      <c r="L32" s="2">
        <v>0.20022421524663839</v>
      </c>
      <c r="M32" s="2">
        <v>0.2</v>
      </c>
      <c r="N32" s="2">
        <f>AVERAGE(B32:M32)</f>
        <v>0.23602319395004109</v>
      </c>
    </row>
    <row r="33" spans="1:18" x14ac:dyDescent="0.25">
      <c r="A33" s="11">
        <v>2021</v>
      </c>
      <c r="B33" s="20">
        <v>0.2</v>
      </c>
      <c r="C33" s="22">
        <v>0.2</v>
      </c>
      <c r="D33" s="24">
        <v>0.2</v>
      </c>
      <c r="E33" s="26">
        <v>0.2</v>
      </c>
      <c r="L33" s="18"/>
      <c r="M33" s="18"/>
      <c r="N33" s="22">
        <f>AVERAGE(B33:M33)</f>
        <v>0.2</v>
      </c>
    </row>
    <row r="34" spans="1:18" x14ac:dyDescent="0.25">
      <c r="A34" s="11"/>
      <c r="L34" s="18"/>
      <c r="M34" s="18"/>
    </row>
    <row r="35" spans="1:18" ht="18" x14ac:dyDescent="0.25">
      <c r="A35" s="27" t="s">
        <v>21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7"/>
      <c r="P35" s="7"/>
      <c r="Q35" s="7"/>
      <c r="R35" s="7"/>
    </row>
    <row r="36" spans="1:18" x14ac:dyDescent="0.25">
      <c r="A36" s="11" t="s">
        <v>20</v>
      </c>
      <c r="B36" s="8" t="s">
        <v>7</v>
      </c>
      <c r="C36" s="8" t="s">
        <v>8</v>
      </c>
      <c r="D36" s="8" t="s">
        <v>9</v>
      </c>
      <c r="E36" s="8" t="s">
        <v>10</v>
      </c>
      <c r="F36" s="8" t="s">
        <v>11</v>
      </c>
      <c r="G36" s="8" t="s">
        <v>12</v>
      </c>
      <c r="H36" s="8" t="s">
        <v>13</v>
      </c>
      <c r="I36" s="8" t="s">
        <v>14</v>
      </c>
      <c r="J36" s="8" t="s">
        <v>15</v>
      </c>
      <c r="K36" s="8" t="s">
        <v>16</v>
      </c>
      <c r="L36" s="1" t="s">
        <v>17</v>
      </c>
      <c r="M36" s="1" t="s">
        <v>18</v>
      </c>
      <c r="N36" s="8" t="s">
        <v>19</v>
      </c>
    </row>
    <row r="37" spans="1:18" x14ac:dyDescent="0.25">
      <c r="A37" s="11">
        <v>2001</v>
      </c>
      <c r="B37" s="1">
        <f>110.09/8.75</f>
        <v>12.581714285714286</v>
      </c>
      <c r="C37" s="1">
        <f>109.15/8.75</f>
        <v>12.474285714285715</v>
      </c>
      <c r="D37" s="1">
        <f>118.39/8.75</f>
        <v>13.530285714285714</v>
      </c>
      <c r="E37" s="1">
        <f>124.47/8.75</f>
        <v>14.225142857142856</v>
      </c>
      <c r="F37" s="1">
        <f>120.03/8.75</f>
        <v>13.717714285714285</v>
      </c>
      <c r="G37" s="1">
        <f>128.29/8.75</f>
        <v>14.661714285714284</v>
      </c>
      <c r="H37" s="1">
        <f>143.86/8.75</f>
        <v>16.441142857142857</v>
      </c>
      <c r="I37" s="1">
        <f>129.26/8.75</f>
        <v>14.772571428571428</v>
      </c>
      <c r="J37" s="1">
        <f>113.68/8.75</f>
        <v>12.992000000000001</v>
      </c>
      <c r="K37" s="1">
        <f>94.17/8.75</f>
        <v>10.762285714285715</v>
      </c>
      <c r="L37" s="1">
        <f>90.5/8.75</f>
        <v>10.342857142857143</v>
      </c>
      <c r="M37" s="1">
        <f>85.87/8.75</f>
        <v>9.8137142857142869</v>
      </c>
      <c r="N37" s="1">
        <f t="shared" ref="N37:N53" si="1">AVERAGE(B37:M37)</f>
        <v>13.026285714285718</v>
      </c>
    </row>
    <row r="38" spans="1:18" x14ac:dyDescent="0.25">
      <c r="A38" s="11">
        <v>2002</v>
      </c>
      <c r="B38" s="1">
        <f>89.65/8.75</f>
        <v>10.245714285714286</v>
      </c>
      <c r="C38" s="1">
        <f>87.13/8.75</f>
        <v>9.9577142857142853</v>
      </c>
      <c r="D38" s="1">
        <f>93.77/8.75</f>
        <v>10.716571428571427</v>
      </c>
      <c r="E38" s="1">
        <f>100.29/8.75</f>
        <v>11.461714285714287</v>
      </c>
      <c r="F38" s="1">
        <f>94.38/8.75</f>
        <v>10.786285714285714</v>
      </c>
      <c r="G38" s="1">
        <f>90.35/8.75</f>
        <v>10.325714285714286</v>
      </c>
      <c r="H38" s="1">
        <f>85.73/8.75</f>
        <v>9.7977142857142869</v>
      </c>
      <c r="I38" s="1">
        <f>79.41/8.75</f>
        <v>9.0754285714285707</v>
      </c>
      <c r="J38" s="1">
        <f>78.69/8.75</f>
        <v>8.9931428571428569</v>
      </c>
      <c r="K38" s="1">
        <f>75.37/8.75</f>
        <v>8.6137142857142859</v>
      </c>
      <c r="L38" s="1">
        <f>76.22/8.75</f>
        <v>8.710857142857142</v>
      </c>
      <c r="M38" s="1">
        <f>75.21/8.75</f>
        <v>8.5954285714285703</v>
      </c>
      <c r="N38" s="1">
        <f t="shared" si="1"/>
        <v>9.7733333333333317</v>
      </c>
    </row>
    <row r="39" spans="1:18" x14ac:dyDescent="0.25">
      <c r="A39" s="11">
        <v>2003</v>
      </c>
      <c r="B39" s="1">
        <f>73.82/8.75</f>
        <v>8.4365714285714279</v>
      </c>
      <c r="C39" s="1">
        <f>75.04/8.75</f>
        <v>8.5760000000000005</v>
      </c>
      <c r="D39" s="1">
        <f>79.04/8.75</f>
        <v>9.0331428571428578</v>
      </c>
      <c r="E39" s="1">
        <f>83.75/8.75</f>
        <v>9.5714285714285712</v>
      </c>
      <c r="F39" s="1">
        <f>81.11/8.75</f>
        <v>9.2697142857142865</v>
      </c>
      <c r="G39" s="1">
        <f>81/8.75</f>
        <v>9.257142857142858</v>
      </c>
      <c r="H39" s="1">
        <f>87.75/8.75</f>
        <v>10.028571428571428</v>
      </c>
      <c r="I39" s="1">
        <f>98.33/8.75</f>
        <v>11.237714285714285</v>
      </c>
      <c r="J39" s="1">
        <f>99.86/8.75</f>
        <v>11.412571428571429</v>
      </c>
      <c r="K39" s="1">
        <f>93.23/8.75</f>
        <v>10.654857142857143</v>
      </c>
      <c r="L39" s="1">
        <f>90.25/8.75</f>
        <v>10.314285714285715</v>
      </c>
      <c r="M39" s="1">
        <f>83.47/8.75</f>
        <v>9.5394285714285711</v>
      </c>
      <c r="N39" s="1">
        <f t="shared" si="1"/>
        <v>9.7776190476190479</v>
      </c>
    </row>
    <row r="40" spans="1:18" x14ac:dyDescent="0.25">
      <c r="A40" s="11">
        <v>2004</v>
      </c>
      <c r="B40" s="1">
        <v>10.58</v>
      </c>
      <c r="C40" s="1">
        <v>11.02</v>
      </c>
      <c r="D40" s="1">
        <v>13.86</v>
      </c>
      <c r="E40" s="1">
        <v>12.88</v>
      </c>
      <c r="F40" s="1">
        <v>13.09</v>
      </c>
      <c r="G40" s="1">
        <v>14.31</v>
      </c>
      <c r="H40" s="1">
        <v>16.23</v>
      </c>
      <c r="I40" s="1">
        <v>15.58</v>
      </c>
      <c r="J40" s="1">
        <v>14.41</v>
      </c>
      <c r="K40" s="1">
        <v>12.21</v>
      </c>
      <c r="L40" s="1">
        <v>11.64</v>
      </c>
      <c r="M40" s="1">
        <v>11.25</v>
      </c>
      <c r="N40" s="1">
        <f t="shared" si="1"/>
        <v>13.088333333333333</v>
      </c>
    </row>
    <row r="41" spans="1:18" x14ac:dyDescent="0.25">
      <c r="A41" s="11">
        <v>2005</v>
      </c>
      <c r="B41" s="1">
        <v>12.21</v>
      </c>
      <c r="C41" s="1">
        <v>12.13</v>
      </c>
      <c r="D41" s="1">
        <v>12.66</v>
      </c>
      <c r="E41" s="1">
        <v>13.43</v>
      </c>
      <c r="F41" s="1">
        <v>13.08</v>
      </c>
      <c r="G41" s="1">
        <v>13.29</v>
      </c>
      <c r="H41" s="1">
        <v>13.66</v>
      </c>
      <c r="I41" s="1">
        <v>12.77</v>
      </c>
      <c r="J41" s="1">
        <v>11.7</v>
      </c>
      <c r="K41" s="1">
        <v>12.42</v>
      </c>
      <c r="L41" s="1">
        <v>10.86</v>
      </c>
      <c r="M41" s="1">
        <v>10.56</v>
      </c>
      <c r="N41" s="1">
        <f t="shared" si="1"/>
        <v>12.397499999999999</v>
      </c>
    </row>
    <row r="42" spans="1:18" x14ac:dyDescent="0.25">
      <c r="A42" s="11">
        <v>2006</v>
      </c>
      <c r="B42" s="1">
        <v>10.38</v>
      </c>
      <c r="C42" s="1">
        <v>10.16</v>
      </c>
      <c r="D42" s="1">
        <v>10.74</v>
      </c>
      <c r="E42" s="1">
        <v>11.07</v>
      </c>
      <c r="F42" s="1">
        <v>11.03</v>
      </c>
      <c r="G42" s="1">
        <v>11.72</v>
      </c>
      <c r="H42" s="1">
        <v>11.63</v>
      </c>
      <c r="I42" s="1">
        <v>11.63</v>
      </c>
      <c r="J42" s="1">
        <v>11.86</v>
      </c>
      <c r="K42" s="1">
        <v>11.44</v>
      </c>
      <c r="L42" s="1">
        <v>11.62</v>
      </c>
      <c r="M42" s="1">
        <v>11</v>
      </c>
      <c r="N42" s="1">
        <f t="shared" si="1"/>
        <v>11.19</v>
      </c>
    </row>
    <row r="43" spans="1:18" x14ac:dyDescent="0.25">
      <c r="A43" s="11">
        <v>2007</v>
      </c>
      <c r="B43" s="1">
        <v>11.54</v>
      </c>
      <c r="C43" s="1">
        <v>12.82</v>
      </c>
      <c r="D43" s="1">
        <v>14.21</v>
      </c>
      <c r="E43" s="1">
        <v>15.03</v>
      </c>
      <c r="F43" s="1">
        <v>17.100000000000001</v>
      </c>
      <c r="G43" s="1">
        <v>20.13</v>
      </c>
      <c r="H43" s="1">
        <v>21.3</v>
      </c>
      <c r="I43" s="1">
        <v>20.260000000000002</v>
      </c>
      <c r="J43" s="1">
        <v>19.559999999999999</v>
      </c>
      <c r="K43" s="1">
        <v>17.850000000000001</v>
      </c>
      <c r="L43" s="1">
        <v>14.77</v>
      </c>
      <c r="M43" s="1">
        <v>15.15</v>
      </c>
      <c r="N43" s="1">
        <f t="shared" si="1"/>
        <v>16.643333333333334</v>
      </c>
    </row>
    <row r="44" spans="1:18" x14ac:dyDescent="0.25">
      <c r="A44" s="11">
        <v>2008</v>
      </c>
      <c r="B44" s="1">
        <v>15.48</v>
      </c>
      <c r="C44" s="1">
        <v>15.7</v>
      </c>
      <c r="D44" s="1">
        <v>16.97</v>
      </c>
      <c r="E44" s="1">
        <v>17.97</v>
      </c>
      <c r="F44" s="1">
        <v>17.940000000000001</v>
      </c>
      <c r="G44" s="1">
        <v>20</v>
      </c>
      <c r="H44" s="1">
        <v>18.91</v>
      </c>
      <c r="I44" s="1">
        <v>18.52</v>
      </c>
      <c r="J44" s="1">
        <v>18.18</v>
      </c>
      <c r="K44" s="1">
        <v>16.760000000000002</v>
      </c>
      <c r="L44" s="1">
        <v>15.21</v>
      </c>
      <c r="M44" s="1">
        <v>16.02</v>
      </c>
      <c r="N44" s="1">
        <f t="shared" si="1"/>
        <v>17.305000000000003</v>
      </c>
    </row>
    <row r="45" spans="1:18" x14ac:dyDescent="0.25">
      <c r="A45" s="11">
        <v>2009</v>
      </c>
      <c r="B45" s="1">
        <v>14.4</v>
      </c>
      <c r="C45" s="1">
        <v>14.54</v>
      </c>
      <c r="D45" s="1">
        <v>16.47</v>
      </c>
      <c r="E45" s="1">
        <v>16.7</v>
      </c>
      <c r="F45" s="1">
        <v>16.04</v>
      </c>
      <c r="G45" s="1">
        <v>15.6</v>
      </c>
      <c r="H45" s="1">
        <v>16.02</v>
      </c>
      <c r="I45" s="1">
        <v>15.81</v>
      </c>
      <c r="J45" s="1">
        <v>14.38</v>
      </c>
      <c r="K45" s="1">
        <v>13.55</v>
      </c>
      <c r="L45" s="1">
        <v>13.84</v>
      </c>
      <c r="M45" s="1">
        <v>13.09</v>
      </c>
      <c r="N45" s="1">
        <f t="shared" si="1"/>
        <v>15.036666666666669</v>
      </c>
    </row>
    <row r="46" spans="1:18" x14ac:dyDescent="0.25">
      <c r="A46" s="11">
        <v>2010</v>
      </c>
      <c r="B46" s="1">
        <v>12.64</v>
      </c>
      <c r="C46" s="1">
        <v>13.01</v>
      </c>
      <c r="D46" s="1">
        <v>13.21</v>
      </c>
      <c r="E46" s="1">
        <v>13.41</v>
      </c>
      <c r="F46" s="1">
        <v>12.93</v>
      </c>
      <c r="G46" s="1">
        <v>13.21</v>
      </c>
      <c r="H46" s="1">
        <v>14.62</v>
      </c>
      <c r="I46" s="1">
        <v>14.87</v>
      </c>
      <c r="J46" s="1">
        <v>17.28</v>
      </c>
      <c r="K46" s="1">
        <v>15.31</v>
      </c>
      <c r="L46" s="1">
        <v>15.09</v>
      </c>
      <c r="M46" s="1">
        <v>15.6</v>
      </c>
      <c r="N46" s="1">
        <f t="shared" si="1"/>
        <v>14.265000000000001</v>
      </c>
    </row>
    <row r="47" spans="1:18" x14ac:dyDescent="0.25">
      <c r="A47" s="11">
        <v>2011</v>
      </c>
      <c r="B47" s="1">
        <v>19.72</v>
      </c>
      <c r="C47" s="1">
        <v>20.56</v>
      </c>
      <c r="D47" s="1">
        <v>23.13</v>
      </c>
      <c r="E47" s="1">
        <v>25.57</v>
      </c>
      <c r="F47" s="1">
        <v>27.46</v>
      </c>
      <c r="G47" s="1">
        <v>32.18</v>
      </c>
      <c r="H47" s="1">
        <v>31.1</v>
      </c>
      <c r="I47" s="1">
        <v>31.69</v>
      </c>
      <c r="J47" s="1">
        <v>24.99</v>
      </c>
      <c r="K47" s="1">
        <v>22.08</v>
      </c>
      <c r="L47" s="1">
        <v>18.260000000000002</v>
      </c>
      <c r="M47" s="1">
        <v>18.329999999999998</v>
      </c>
      <c r="N47" s="1">
        <f t="shared" si="1"/>
        <v>24.589166666666667</v>
      </c>
    </row>
    <row r="48" spans="1:18" x14ac:dyDescent="0.25">
      <c r="A48" s="11">
        <v>2012</v>
      </c>
      <c r="B48" s="1">
        <v>18.149999999999999</v>
      </c>
      <c r="C48" s="1">
        <v>17.579999999999998</v>
      </c>
      <c r="D48" s="1">
        <v>18.5</v>
      </c>
      <c r="E48" s="1">
        <v>17.77</v>
      </c>
      <c r="F48" s="1">
        <v>16.670000000000002</v>
      </c>
      <c r="G48" s="1">
        <v>16.88</v>
      </c>
      <c r="H48" s="1">
        <v>16.899999999999999</v>
      </c>
      <c r="I48" s="1">
        <v>17.68</v>
      </c>
      <c r="J48" s="1">
        <v>16.05</v>
      </c>
      <c r="K48" s="1">
        <v>14.34</v>
      </c>
      <c r="L48" s="1">
        <v>14.26</v>
      </c>
      <c r="M48" s="1">
        <v>14.32</v>
      </c>
      <c r="N48" s="1">
        <f t="shared" si="1"/>
        <v>16.591666666666665</v>
      </c>
    </row>
    <row r="49" spans="1:14" x14ac:dyDescent="0.25">
      <c r="A49" s="11">
        <v>2013</v>
      </c>
      <c r="B49" s="1">
        <v>13.47</v>
      </c>
      <c r="C49" s="1">
        <v>13.35</v>
      </c>
      <c r="D49" s="1">
        <v>14.52</v>
      </c>
      <c r="E49" s="1">
        <v>14.57</v>
      </c>
      <c r="F49" s="1">
        <v>14.03</v>
      </c>
      <c r="G49" s="1">
        <v>15.24</v>
      </c>
      <c r="H49" s="1">
        <v>15.49</v>
      </c>
      <c r="I49" s="1">
        <v>15.43</v>
      </c>
      <c r="J49" s="1">
        <v>15.51</v>
      </c>
      <c r="K49" s="1">
        <v>13.81</v>
      </c>
      <c r="L49" s="1">
        <v>13.79</v>
      </c>
      <c r="M49" s="1">
        <v>12.84</v>
      </c>
      <c r="N49" s="1">
        <f t="shared" si="1"/>
        <v>14.337499999999999</v>
      </c>
    </row>
    <row r="50" spans="1:14" x14ac:dyDescent="0.25">
      <c r="A50" s="12" t="s">
        <v>24</v>
      </c>
      <c r="B50" s="1">
        <v>12.33</v>
      </c>
      <c r="C50" s="1">
        <v>12.91</v>
      </c>
      <c r="D50" s="1">
        <v>14.02</v>
      </c>
      <c r="E50" s="1">
        <v>14.17</v>
      </c>
      <c r="F50" s="1">
        <v>14.28</v>
      </c>
      <c r="G50" s="1">
        <v>16.72</v>
      </c>
      <c r="H50" s="1">
        <v>19.7</v>
      </c>
      <c r="I50" s="1">
        <v>21.7</v>
      </c>
      <c r="J50" s="1">
        <v>18.66</v>
      </c>
      <c r="K50" s="1">
        <v>18.579999999999998</v>
      </c>
      <c r="L50" s="1">
        <v>18.25</v>
      </c>
      <c r="M50" s="1">
        <v>17.68</v>
      </c>
      <c r="N50" s="1">
        <f t="shared" si="1"/>
        <v>16.583333333333332</v>
      </c>
    </row>
    <row r="51" spans="1:14" x14ac:dyDescent="0.25">
      <c r="A51" s="11">
        <v>2015</v>
      </c>
      <c r="B51" s="1">
        <v>20.190000000000001</v>
      </c>
      <c r="C51" s="1">
        <v>20.100000000000001</v>
      </c>
      <c r="D51" s="1">
        <v>20.5</v>
      </c>
      <c r="E51" s="1">
        <v>20.350000000000001</v>
      </c>
      <c r="F51" s="1">
        <v>19.899999999999999</v>
      </c>
      <c r="G51" s="1">
        <v>20.170000000000002</v>
      </c>
      <c r="H51" s="1">
        <v>22.29</v>
      </c>
      <c r="I51" s="1">
        <v>20.68</v>
      </c>
      <c r="J51" s="1">
        <v>19.93</v>
      </c>
      <c r="K51" s="1">
        <v>19.14</v>
      </c>
      <c r="L51" s="1">
        <v>18.79</v>
      </c>
      <c r="M51" s="1">
        <v>18.350000000000001</v>
      </c>
      <c r="N51" s="1">
        <f t="shared" si="1"/>
        <v>20.032500000000002</v>
      </c>
    </row>
    <row r="52" spans="1:14" x14ac:dyDescent="0.25">
      <c r="A52" s="11">
        <v>2016</v>
      </c>
      <c r="B52" s="1">
        <v>18.8</v>
      </c>
      <c r="C52" s="1">
        <v>19.09</v>
      </c>
      <c r="D52" s="1">
        <v>19.89</v>
      </c>
      <c r="E52" s="1">
        <v>19.809999999999999</v>
      </c>
      <c r="F52" s="1">
        <v>19.28</v>
      </c>
      <c r="G52" s="1">
        <v>19.03</v>
      </c>
      <c r="H52" s="1">
        <v>18.47</v>
      </c>
      <c r="I52" s="1">
        <v>18.489999999999998</v>
      </c>
      <c r="J52" s="1">
        <v>18.34</v>
      </c>
      <c r="K52" s="1">
        <v>16.489999999999998</v>
      </c>
      <c r="L52" s="1">
        <v>15.19</v>
      </c>
      <c r="M52" s="1">
        <v>14.17</v>
      </c>
      <c r="N52" s="1">
        <f t="shared" si="1"/>
        <v>18.087500000000002</v>
      </c>
    </row>
    <row r="53" spans="1:14" x14ac:dyDescent="0.25">
      <c r="A53" s="11">
        <v>2017</v>
      </c>
      <c r="B53" s="2">
        <v>13</v>
      </c>
      <c r="C53" s="2">
        <v>12.43</v>
      </c>
      <c r="D53" s="2">
        <v>12.25</v>
      </c>
      <c r="E53" s="2">
        <v>12.34</v>
      </c>
      <c r="F53" s="2">
        <v>12.35</v>
      </c>
      <c r="G53" s="2">
        <v>12.15</v>
      </c>
      <c r="H53" s="2">
        <v>12.25</v>
      </c>
      <c r="I53" s="2">
        <v>12.03</v>
      </c>
      <c r="J53" s="2">
        <v>11.92</v>
      </c>
      <c r="K53" s="2">
        <v>12.14</v>
      </c>
      <c r="L53" s="2">
        <v>12.06</v>
      </c>
      <c r="M53" s="2">
        <v>11.87</v>
      </c>
      <c r="N53" s="2">
        <f t="shared" si="1"/>
        <v>12.2325</v>
      </c>
    </row>
    <row r="54" spans="1:14" x14ac:dyDescent="0.25">
      <c r="A54" s="11">
        <v>2018</v>
      </c>
      <c r="B54" s="2">
        <v>11.68</v>
      </c>
      <c r="C54" s="2">
        <v>11.91</v>
      </c>
      <c r="D54" s="2">
        <v>14.54</v>
      </c>
      <c r="E54" s="2">
        <v>15.21</v>
      </c>
      <c r="F54" s="2">
        <v>15.4</v>
      </c>
      <c r="G54" s="2">
        <v>17.48</v>
      </c>
      <c r="H54" s="2">
        <v>20.57</v>
      </c>
      <c r="I54" s="2">
        <v>22.66</v>
      </c>
      <c r="J54" s="2">
        <v>21.34</v>
      </c>
      <c r="K54" s="2">
        <v>18.43</v>
      </c>
      <c r="L54" s="2">
        <v>18.14</v>
      </c>
      <c r="M54" s="2">
        <v>17.71</v>
      </c>
      <c r="N54" s="2">
        <f>AVERAGE(B54:M54)</f>
        <v>17.089166666666667</v>
      </c>
    </row>
    <row r="55" spans="1:14" x14ac:dyDescent="0.25">
      <c r="A55" s="11">
        <v>2019</v>
      </c>
      <c r="B55" s="2">
        <v>19.96</v>
      </c>
      <c r="C55" s="2">
        <v>20.3</v>
      </c>
      <c r="D55" s="2">
        <v>20.329999999999998</v>
      </c>
      <c r="E55" s="2">
        <v>20.12</v>
      </c>
      <c r="F55" s="2">
        <v>18.82</v>
      </c>
      <c r="G55" s="2">
        <v>18.59</v>
      </c>
      <c r="H55" s="2">
        <v>20.05</v>
      </c>
      <c r="I55" s="2">
        <v>19.309999999999999</v>
      </c>
      <c r="J55" s="2">
        <v>18.25</v>
      </c>
      <c r="K55" s="2">
        <v>17.46</v>
      </c>
      <c r="L55" s="2">
        <v>16.73</v>
      </c>
      <c r="M55" s="2">
        <v>16.010000000000002</v>
      </c>
      <c r="N55" s="2">
        <f>AVERAGE(B55:M55)</f>
        <v>18.827500000000001</v>
      </c>
    </row>
    <row r="56" spans="1:14" x14ac:dyDescent="0.25">
      <c r="A56" s="11">
        <v>2020</v>
      </c>
      <c r="B56" s="2">
        <v>16.02</v>
      </c>
      <c r="C56" s="2">
        <v>16.149999999999999</v>
      </c>
      <c r="D56" s="2">
        <v>16.149999999999999</v>
      </c>
      <c r="E56" s="2">
        <v>18.670000000000002</v>
      </c>
      <c r="F56" s="2">
        <v>18.149999999999999</v>
      </c>
      <c r="G56" s="2">
        <v>17.89</v>
      </c>
      <c r="H56" s="2">
        <v>17.809999999999999</v>
      </c>
      <c r="I56" s="2">
        <v>16.156950672645738</v>
      </c>
      <c r="J56" s="2">
        <v>15.538659793814434</v>
      </c>
      <c r="K56" s="2">
        <v>14.671524663677131</v>
      </c>
      <c r="L56" s="2">
        <v>14.516290726817042</v>
      </c>
      <c r="M56" s="2">
        <v>14.76</v>
      </c>
      <c r="N56" s="2">
        <f>AVERAGE(B56:M56)</f>
        <v>16.373618821412865</v>
      </c>
    </row>
    <row r="57" spans="1:14" x14ac:dyDescent="0.25">
      <c r="A57" s="11">
        <v>2021</v>
      </c>
      <c r="B57" s="19">
        <v>14.69</v>
      </c>
      <c r="C57" s="21">
        <v>14.42</v>
      </c>
      <c r="D57" s="23">
        <v>14.99</v>
      </c>
      <c r="E57" s="25">
        <v>15.63</v>
      </c>
      <c r="L57" s="18"/>
      <c r="M57" s="18"/>
      <c r="N57" s="19">
        <f>AVERAGE(B57:M57)</f>
        <v>14.932500000000001</v>
      </c>
    </row>
    <row r="58" spans="1:14" x14ac:dyDescent="0.25">
      <c r="A58" s="11"/>
      <c r="L58" s="18"/>
      <c r="M58" s="18"/>
    </row>
    <row r="59" spans="1:14" ht="20.25" customHeight="1" x14ac:dyDescent="0.3">
      <c r="A59" s="28" t="s">
        <v>22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ht="18" customHeight="1" x14ac:dyDescent="0.25">
      <c r="A60" s="27" t="s">
        <v>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1:14" x14ac:dyDescent="0.25">
      <c r="A61" s="11" t="s">
        <v>20</v>
      </c>
      <c r="B61" s="1" t="s">
        <v>7</v>
      </c>
      <c r="C61" s="1" t="s">
        <v>8</v>
      </c>
      <c r="D61" s="1" t="s">
        <v>9</v>
      </c>
      <c r="E61" s="1" t="s">
        <v>10</v>
      </c>
      <c r="F61" s="1" t="s">
        <v>11</v>
      </c>
      <c r="G61" s="1" t="s">
        <v>12</v>
      </c>
      <c r="H61" s="1" t="s">
        <v>13</v>
      </c>
      <c r="I61" s="1" t="s">
        <v>14</v>
      </c>
      <c r="J61" s="1" t="s">
        <v>15</v>
      </c>
      <c r="K61" s="1" t="s">
        <v>16</v>
      </c>
      <c r="L61" s="1" t="s">
        <v>17</v>
      </c>
      <c r="M61" s="1" t="s">
        <v>18</v>
      </c>
      <c r="N61" s="8" t="s">
        <v>19</v>
      </c>
    </row>
    <row r="62" spans="1:14" x14ac:dyDescent="0.25">
      <c r="A62" s="11">
        <v>2001</v>
      </c>
      <c r="B62" s="1">
        <f>1.03/8.75</f>
        <v>0.11771428571428572</v>
      </c>
      <c r="C62" s="1">
        <f>1.08/8.75</f>
        <v>0.12342857142857144</v>
      </c>
      <c r="D62" s="1">
        <f>1.03/8.75</f>
        <v>0.11771428571428572</v>
      </c>
      <c r="E62" s="1">
        <f>1.1/8.75</f>
        <v>0.12571428571428572</v>
      </c>
      <c r="F62" s="1">
        <f>1.13/8.75</f>
        <v>0.12914285714285714</v>
      </c>
      <c r="G62" s="1">
        <f>1.16/8.75</f>
        <v>0.13257142857142856</v>
      </c>
      <c r="H62" s="1">
        <f>1.24/8.75</f>
        <v>0.14171428571428571</v>
      </c>
      <c r="I62" s="1">
        <f>1.26/8.75</f>
        <v>0.14399999999999999</v>
      </c>
      <c r="J62" s="1">
        <f>1.26/8.75</f>
        <v>0.14399999999999999</v>
      </c>
      <c r="K62" s="1">
        <f>1.22/8.75</f>
        <v>0.13942857142857143</v>
      </c>
      <c r="L62" s="1">
        <f>1.13/8.75</f>
        <v>0.12914285714285714</v>
      </c>
      <c r="M62" s="1">
        <f>1.03/8.75</f>
        <v>0.11771428571428572</v>
      </c>
      <c r="N62" s="1">
        <f t="shared" ref="N62:N78" si="2">AVERAGE(B62:M62)</f>
        <v>0.13019047619047619</v>
      </c>
    </row>
    <row r="63" spans="1:14" x14ac:dyDescent="0.25">
      <c r="A63" s="11">
        <v>2002</v>
      </c>
      <c r="B63" s="1">
        <f>1/8.75</f>
        <v>0.11428571428571428</v>
      </c>
      <c r="C63" s="1">
        <f>0.97/8.75</f>
        <v>0.11085714285714285</v>
      </c>
      <c r="D63" s="1">
        <f>0.97/8.75</f>
        <v>0.11085714285714285</v>
      </c>
      <c r="E63" s="1">
        <f>0.98/8.75</f>
        <v>0.112</v>
      </c>
      <c r="F63" s="1">
        <f>0.99/8.75</f>
        <v>0.11314285714285714</v>
      </c>
      <c r="G63" s="1">
        <f>0.96/8.75</f>
        <v>0.10971428571428571</v>
      </c>
      <c r="H63" s="1">
        <f>0.93/8.75</f>
        <v>0.10628571428571429</v>
      </c>
      <c r="I63" s="1">
        <f>0.92/8.75</f>
        <v>0.10514285714285715</v>
      </c>
      <c r="J63" s="1">
        <f>0.96/8.75</f>
        <v>0.10971428571428571</v>
      </c>
      <c r="K63" s="1">
        <f>0.97/8.75</f>
        <v>0.11085714285714285</v>
      </c>
      <c r="L63" s="1">
        <f>0.98/8.75</f>
        <v>0.112</v>
      </c>
      <c r="M63" s="1">
        <f>1/8.75</f>
        <v>0.11428571428571428</v>
      </c>
      <c r="N63" s="1">
        <f t="shared" si="2"/>
        <v>0.11076190476190477</v>
      </c>
    </row>
    <row r="64" spans="1:14" x14ac:dyDescent="0.25">
      <c r="A64" s="11">
        <v>2003</v>
      </c>
      <c r="B64" s="1">
        <f>0.97/8.75</f>
        <v>0.11085714285714285</v>
      </c>
      <c r="C64" s="1">
        <f>0.94/8.75</f>
        <v>0.10742857142857143</v>
      </c>
      <c r="D64" s="1">
        <f>0.94/8.75</f>
        <v>0.10742857142857143</v>
      </c>
      <c r="E64" s="1">
        <f>0.96/8.75</f>
        <v>0.10971428571428571</v>
      </c>
      <c r="F64" s="1">
        <f>0.99/8.75</f>
        <v>0.11314285714285714</v>
      </c>
      <c r="G64" s="1">
        <f>0.98/8.75</f>
        <v>0.112</v>
      </c>
      <c r="H64" s="1">
        <f>1/8.75</f>
        <v>0.11428571428571428</v>
      </c>
      <c r="I64" s="1">
        <f>1.21/8.75</f>
        <v>0.13828571428571429</v>
      </c>
      <c r="J64" s="1">
        <f>1.25/8.75</f>
        <v>0.14285714285714285</v>
      </c>
      <c r="K64" s="1">
        <f>1.45/8.75</f>
        <v>0.1657142857142857</v>
      </c>
      <c r="L64" s="1">
        <f>1.9/8.75</f>
        <v>0.21714285714285714</v>
      </c>
      <c r="M64" s="1">
        <f>1.42/8.75</f>
        <v>0.16228571428571428</v>
      </c>
      <c r="N64" s="1">
        <f t="shared" si="2"/>
        <v>0.13342857142857142</v>
      </c>
    </row>
    <row r="65" spans="1:14" x14ac:dyDescent="0.25">
      <c r="A65" s="12" t="s">
        <v>23</v>
      </c>
      <c r="B65" s="1">
        <v>0.13</v>
      </c>
      <c r="C65" s="1">
        <v>0.13</v>
      </c>
      <c r="D65" s="1">
        <v>0.14000000000000001</v>
      </c>
      <c r="E65" s="1">
        <v>0.14000000000000001</v>
      </c>
      <c r="F65" s="1">
        <v>0.14000000000000001</v>
      </c>
      <c r="G65" s="1">
        <v>0.14000000000000001</v>
      </c>
      <c r="H65" s="1">
        <v>0.14000000000000001</v>
      </c>
      <c r="I65" s="1">
        <v>0.15</v>
      </c>
      <c r="J65" s="1">
        <v>0.16</v>
      </c>
      <c r="K65" s="1">
        <v>0.17</v>
      </c>
      <c r="L65" s="1">
        <v>0.16</v>
      </c>
      <c r="M65" s="1">
        <v>0.15</v>
      </c>
      <c r="N65" s="1">
        <f t="shared" si="2"/>
        <v>0.14583333333333331</v>
      </c>
    </row>
    <row r="66" spans="1:14" x14ac:dyDescent="0.25">
      <c r="A66" s="11">
        <v>2005</v>
      </c>
      <c r="B66" s="1">
        <v>0.14000000000000001</v>
      </c>
      <c r="C66" s="1">
        <v>0.14000000000000001</v>
      </c>
      <c r="D66" s="1">
        <v>0.14000000000000001</v>
      </c>
      <c r="E66" s="1">
        <v>0.13</v>
      </c>
      <c r="F66" s="1">
        <v>0.13</v>
      </c>
      <c r="G66" s="1">
        <v>0.13</v>
      </c>
      <c r="H66" s="1">
        <v>0.13</v>
      </c>
      <c r="I66" s="1">
        <v>0.13</v>
      </c>
      <c r="J66" s="1">
        <v>0.13</v>
      </c>
      <c r="K66" s="1">
        <v>0.13</v>
      </c>
      <c r="L66" s="1">
        <v>0.13</v>
      </c>
      <c r="M66" s="1">
        <v>0.13</v>
      </c>
      <c r="N66" s="1">
        <f t="shared" si="2"/>
        <v>0.13249999999999998</v>
      </c>
    </row>
    <row r="67" spans="1:14" x14ac:dyDescent="0.25">
      <c r="A67" s="11">
        <v>2006</v>
      </c>
      <c r="B67" s="1">
        <v>0.13</v>
      </c>
      <c r="C67" s="1">
        <v>0.13</v>
      </c>
      <c r="D67" s="1">
        <v>0.15</v>
      </c>
      <c r="E67" s="1">
        <v>0.15</v>
      </c>
      <c r="F67" s="1">
        <v>0.15</v>
      </c>
      <c r="G67" s="1">
        <v>0.16</v>
      </c>
      <c r="H67" s="1">
        <v>0.19</v>
      </c>
      <c r="I67" s="1">
        <v>0.18</v>
      </c>
      <c r="J67" s="1">
        <v>0.2</v>
      </c>
      <c r="K67" s="1">
        <v>0.24</v>
      </c>
      <c r="L67" s="1">
        <v>0.26</v>
      </c>
      <c r="M67" s="1">
        <v>0.2</v>
      </c>
      <c r="N67" s="1">
        <f t="shared" si="2"/>
        <v>0.17833333333333334</v>
      </c>
    </row>
    <row r="68" spans="1:14" x14ac:dyDescent="0.25">
      <c r="A68" s="11">
        <v>2007</v>
      </c>
      <c r="B68" s="1">
        <v>0.16</v>
      </c>
      <c r="C68" s="1">
        <v>0.17</v>
      </c>
      <c r="D68" s="1">
        <v>0.16</v>
      </c>
      <c r="E68" s="1">
        <v>0.16</v>
      </c>
      <c r="F68" s="1">
        <v>0.16</v>
      </c>
      <c r="G68" s="1">
        <v>0.2</v>
      </c>
      <c r="H68" s="1">
        <v>0.22</v>
      </c>
      <c r="I68" s="1">
        <v>0.22</v>
      </c>
      <c r="J68" s="1">
        <v>0.22</v>
      </c>
      <c r="K68" s="1">
        <v>0.22</v>
      </c>
      <c r="L68" s="1">
        <v>0.21</v>
      </c>
      <c r="M68" s="1">
        <v>0.21</v>
      </c>
      <c r="N68" s="1">
        <f t="shared" si="2"/>
        <v>0.1925</v>
      </c>
    </row>
    <row r="69" spans="1:14" x14ac:dyDescent="0.25">
      <c r="A69" s="11">
        <v>2008</v>
      </c>
      <c r="B69" s="1">
        <v>0.2</v>
      </c>
      <c r="C69" s="1">
        <v>0.2</v>
      </c>
      <c r="D69" s="1">
        <v>0.21</v>
      </c>
      <c r="E69" s="1">
        <v>0.23</v>
      </c>
      <c r="F69" s="1">
        <v>0.23</v>
      </c>
      <c r="G69" s="1">
        <v>0.25</v>
      </c>
      <c r="H69" s="1">
        <v>0.25</v>
      </c>
      <c r="I69" s="1">
        <v>0.24</v>
      </c>
      <c r="J69" s="1">
        <v>0.23</v>
      </c>
      <c r="K69" s="1">
        <v>0.23</v>
      </c>
      <c r="L69" s="1">
        <v>0.23</v>
      </c>
      <c r="M69" s="1">
        <v>0.23</v>
      </c>
      <c r="N69" s="1">
        <f t="shared" si="2"/>
        <v>0.22750000000000001</v>
      </c>
    </row>
    <row r="70" spans="1:14" x14ac:dyDescent="0.25">
      <c r="A70" s="11">
        <v>2009</v>
      </c>
      <c r="B70" s="1">
        <v>0.23</v>
      </c>
      <c r="C70" s="1">
        <v>0.23</v>
      </c>
      <c r="D70" s="1">
        <v>0.23</v>
      </c>
      <c r="E70" s="1">
        <v>0.23</v>
      </c>
      <c r="F70" s="1">
        <v>0.23</v>
      </c>
      <c r="G70" s="1">
        <v>0.23</v>
      </c>
      <c r="H70" s="1">
        <v>0.23</v>
      </c>
      <c r="I70" s="1">
        <v>0.23</v>
      </c>
      <c r="J70" s="1">
        <v>0.23</v>
      </c>
      <c r="K70" s="1">
        <v>0.22</v>
      </c>
      <c r="L70" s="1">
        <v>0.23</v>
      </c>
      <c r="M70" s="1">
        <v>0.22</v>
      </c>
      <c r="N70" s="1">
        <f t="shared" si="2"/>
        <v>0.22833333333333339</v>
      </c>
    </row>
    <row r="71" spans="1:14" x14ac:dyDescent="0.25">
      <c r="A71" s="11">
        <v>2010</v>
      </c>
      <c r="B71" s="1">
        <v>0.19</v>
      </c>
      <c r="C71" s="1">
        <v>0.19</v>
      </c>
      <c r="D71" s="1">
        <v>0.19</v>
      </c>
      <c r="E71" s="1">
        <v>0.19</v>
      </c>
      <c r="F71" s="1">
        <v>0.19</v>
      </c>
      <c r="G71" s="1">
        <v>0.19</v>
      </c>
      <c r="H71" s="1">
        <v>0.19</v>
      </c>
      <c r="I71" s="1">
        <v>0.19</v>
      </c>
      <c r="J71" s="1">
        <v>0.2</v>
      </c>
      <c r="K71" s="1">
        <v>0.19</v>
      </c>
      <c r="L71" s="1">
        <v>0.23</v>
      </c>
      <c r="M71" s="1">
        <v>0.24</v>
      </c>
      <c r="N71" s="1">
        <f t="shared" si="2"/>
        <v>0.19833333333333333</v>
      </c>
    </row>
    <row r="72" spans="1:14" x14ac:dyDescent="0.25">
      <c r="A72" s="11">
        <v>2011</v>
      </c>
      <c r="B72" s="1">
        <v>0.23</v>
      </c>
      <c r="C72" s="1">
        <v>0.23</v>
      </c>
      <c r="D72" s="1">
        <v>0.24</v>
      </c>
      <c r="E72" s="1">
        <v>0.28000000000000003</v>
      </c>
      <c r="F72" s="1">
        <v>0.28000000000000003</v>
      </c>
      <c r="G72" s="1">
        <v>0.28999999999999998</v>
      </c>
      <c r="H72" s="1">
        <v>0.28999999999999998</v>
      </c>
      <c r="I72" s="1">
        <v>0.36</v>
      </c>
      <c r="J72" s="1">
        <v>0.39</v>
      </c>
      <c r="K72" s="1">
        <v>0.4</v>
      </c>
      <c r="L72" s="1">
        <v>0.46</v>
      </c>
      <c r="M72" s="1">
        <v>0.31</v>
      </c>
      <c r="N72" s="1">
        <f t="shared" si="2"/>
        <v>0.31333333333333335</v>
      </c>
    </row>
    <row r="73" spans="1:14" x14ac:dyDescent="0.25">
      <c r="A73" s="11">
        <v>2012</v>
      </c>
      <c r="B73" s="1">
        <v>0.25</v>
      </c>
      <c r="C73" s="1">
        <v>0.23</v>
      </c>
      <c r="D73" s="1">
        <v>0.22</v>
      </c>
      <c r="E73" s="1">
        <v>0.25</v>
      </c>
      <c r="F73" s="1">
        <v>0.25</v>
      </c>
      <c r="G73" s="1">
        <v>0.25</v>
      </c>
      <c r="H73" s="1">
        <v>0.24</v>
      </c>
      <c r="I73" s="1">
        <v>0.25</v>
      </c>
      <c r="J73" s="1">
        <v>0.25</v>
      </c>
      <c r="K73" s="1">
        <v>0.25</v>
      </c>
      <c r="L73" s="1">
        <v>0.22</v>
      </c>
      <c r="M73" s="1">
        <v>0.23</v>
      </c>
      <c r="N73" s="1">
        <f t="shared" si="2"/>
        <v>0.24083333333333334</v>
      </c>
    </row>
    <row r="74" spans="1:14" x14ac:dyDescent="0.25">
      <c r="A74" s="11">
        <v>2013</v>
      </c>
      <c r="B74" s="1">
        <v>0.2</v>
      </c>
      <c r="C74" s="1">
        <v>0.21</v>
      </c>
      <c r="D74" s="1">
        <v>0.21</v>
      </c>
      <c r="E74" s="1">
        <v>0.23</v>
      </c>
      <c r="F74" s="1">
        <v>0.23</v>
      </c>
      <c r="G74" s="1">
        <v>0.22</v>
      </c>
      <c r="H74" s="1">
        <v>0.21</v>
      </c>
      <c r="I74" s="1">
        <v>0.21</v>
      </c>
      <c r="J74" s="1">
        <v>0.21</v>
      </c>
      <c r="K74" s="1">
        <v>0.21</v>
      </c>
      <c r="L74" s="1">
        <v>0.21</v>
      </c>
      <c r="M74" s="1">
        <v>0.21</v>
      </c>
      <c r="N74" s="1">
        <f t="shared" si="2"/>
        <v>0.21333333333333335</v>
      </c>
    </row>
    <row r="75" spans="1:14" x14ac:dyDescent="0.25">
      <c r="A75" s="11">
        <v>2014</v>
      </c>
      <c r="B75" s="1">
        <v>0.19</v>
      </c>
      <c r="C75" s="1">
        <v>0.18</v>
      </c>
      <c r="D75" s="1">
        <v>0.19</v>
      </c>
      <c r="E75" s="1">
        <v>0.19</v>
      </c>
      <c r="F75" s="1">
        <v>0.19</v>
      </c>
      <c r="G75" s="1">
        <v>0.19</v>
      </c>
      <c r="H75" s="1">
        <v>0.21</v>
      </c>
      <c r="I75" s="1">
        <v>0.24</v>
      </c>
      <c r="J75" s="1">
        <v>0.24</v>
      </c>
      <c r="K75" s="1">
        <v>0.23</v>
      </c>
      <c r="L75" s="1">
        <v>0.22</v>
      </c>
      <c r="M75" s="1">
        <v>0.22</v>
      </c>
      <c r="N75" s="1">
        <f t="shared" si="2"/>
        <v>0.20750000000000002</v>
      </c>
    </row>
    <row r="76" spans="1:14" x14ac:dyDescent="0.25">
      <c r="A76" s="11">
        <v>2015</v>
      </c>
      <c r="B76" s="1">
        <v>0.2</v>
      </c>
      <c r="C76" s="1">
        <v>0.19</v>
      </c>
      <c r="D76" s="1">
        <v>0.2</v>
      </c>
      <c r="E76" s="1">
        <v>0.2</v>
      </c>
      <c r="F76" s="1">
        <v>0.23</v>
      </c>
      <c r="G76" s="1">
        <v>0.2</v>
      </c>
      <c r="H76" s="1">
        <v>0.25</v>
      </c>
      <c r="I76" s="1">
        <v>0.25</v>
      </c>
      <c r="J76" s="1">
        <v>0.24</v>
      </c>
      <c r="K76" s="1">
        <v>0.25</v>
      </c>
      <c r="L76" s="1">
        <v>0.33</v>
      </c>
      <c r="M76" s="1">
        <v>0.3</v>
      </c>
      <c r="N76" s="1">
        <f t="shared" si="2"/>
        <v>0.23666666666666666</v>
      </c>
    </row>
    <row r="77" spans="1:14" x14ac:dyDescent="0.25">
      <c r="A77" s="11">
        <v>2016</v>
      </c>
      <c r="B77" s="2">
        <v>0.25</v>
      </c>
      <c r="C77" s="2">
        <v>0.25</v>
      </c>
      <c r="D77" s="2">
        <v>0.25</v>
      </c>
      <c r="E77" s="2">
        <v>0.25</v>
      </c>
      <c r="F77" s="2">
        <v>0.25</v>
      </c>
      <c r="G77" s="2">
        <v>0.25</v>
      </c>
      <c r="H77" s="2">
        <v>0.25</v>
      </c>
      <c r="I77" s="2">
        <v>0.25</v>
      </c>
      <c r="J77" s="2">
        <v>0.25</v>
      </c>
      <c r="K77" s="2">
        <v>0.25</v>
      </c>
      <c r="L77" s="2">
        <v>0.25</v>
      </c>
      <c r="M77" s="2">
        <v>0.25</v>
      </c>
      <c r="N77" s="1">
        <f t="shared" si="2"/>
        <v>0.25</v>
      </c>
    </row>
    <row r="78" spans="1:14" x14ac:dyDescent="0.25">
      <c r="A78" s="11">
        <v>2017</v>
      </c>
      <c r="B78" s="2">
        <v>0.25</v>
      </c>
      <c r="C78" s="2">
        <v>0.25</v>
      </c>
      <c r="D78" s="2">
        <v>0.25</v>
      </c>
      <c r="E78" s="2">
        <v>0.25</v>
      </c>
      <c r="F78" s="2">
        <v>0.28999999999999998</v>
      </c>
      <c r="G78" s="2">
        <v>0.28999999999999998</v>
      </c>
      <c r="H78" s="2">
        <v>0.28999999999999998</v>
      </c>
      <c r="I78" s="2">
        <v>0.28999999999999998</v>
      </c>
      <c r="J78" s="2">
        <v>0.28000000000000003</v>
      </c>
      <c r="K78" s="2">
        <v>0.28999999999999998</v>
      </c>
      <c r="L78" s="2">
        <v>0.28000000000000003</v>
      </c>
      <c r="M78" s="2">
        <v>0.25</v>
      </c>
      <c r="N78" s="2">
        <f t="shared" si="2"/>
        <v>0.27166666666666672</v>
      </c>
    </row>
    <row r="79" spans="1:14" x14ac:dyDescent="0.25">
      <c r="A79" s="11">
        <v>2018</v>
      </c>
      <c r="B79" s="2">
        <v>0.22</v>
      </c>
      <c r="C79" s="2">
        <v>0.24</v>
      </c>
      <c r="D79" s="2">
        <v>0.24</v>
      </c>
      <c r="E79" s="2">
        <v>0.23</v>
      </c>
      <c r="F79" s="2">
        <v>0.23</v>
      </c>
      <c r="G79" s="2">
        <v>0.24</v>
      </c>
      <c r="H79" s="2">
        <v>0.24</v>
      </c>
      <c r="I79" s="2">
        <v>0.25</v>
      </c>
      <c r="J79" s="2">
        <v>0.25</v>
      </c>
      <c r="K79" s="2">
        <v>0.25</v>
      </c>
      <c r="L79" s="2">
        <v>0.25</v>
      </c>
      <c r="M79" s="2">
        <v>0.25</v>
      </c>
      <c r="N79" s="2">
        <f>AVERAGE(B79:M79)</f>
        <v>0.24083333333333332</v>
      </c>
    </row>
    <row r="80" spans="1:14" x14ac:dyDescent="0.25">
      <c r="A80" s="11">
        <v>2019</v>
      </c>
      <c r="B80" s="2">
        <v>0.24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2">
        <f>AVERAGE(B80:M80)</f>
        <v>0.24916666666666668</v>
      </c>
    </row>
    <row r="81" spans="1:18" x14ac:dyDescent="0.25">
      <c r="A81" s="11">
        <v>2020</v>
      </c>
      <c r="B81" s="2">
        <v>0.25</v>
      </c>
      <c r="C81" s="2">
        <v>0.25</v>
      </c>
      <c r="D81" s="2">
        <v>0.25</v>
      </c>
      <c r="E81" s="2">
        <v>0.25</v>
      </c>
      <c r="F81" s="2">
        <v>0.25</v>
      </c>
      <c r="G81" s="2">
        <v>0.25</v>
      </c>
      <c r="H81" s="2">
        <v>0.25</v>
      </c>
      <c r="I81" s="2">
        <v>0.25</v>
      </c>
      <c r="J81" s="2">
        <v>0.2323394495412843</v>
      </c>
      <c r="K81" s="2">
        <v>0.20060000000000069</v>
      </c>
      <c r="L81" s="2">
        <v>0.20000000000000046</v>
      </c>
      <c r="M81" s="2">
        <v>0.2</v>
      </c>
      <c r="N81" s="2">
        <f>AVERAGE(B81:M81)</f>
        <v>0.23607828746177381</v>
      </c>
    </row>
    <row r="82" spans="1:18" x14ac:dyDescent="0.25">
      <c r="A82" s="11">
        <v>2021</v>
      </c>
      <c r="B82" s="18">
        <v>0.2</v>
      </c>
      <c r="C82" s="18">
        <v>0.2</v>
      </c>
      <c r="D82" s="18">
        <v>0.2</v>
      </c>
      <c r="E82" s="18">
        <v>0.2</v>
      </c>
      <c r="F82" s="18"/>
      <c r="G82" s="18"/>
      <c r="H82" s="18"/>
      <c r="I82" s="18"/>
      <c r="J82" s="18"/>
      <c r="K82" s="18"/>
      <c r="L82" s="18"/>
      <c r="M82" s="18"/>
      <c r="N82" s="18">
        <f>AVERAGE(B82:M82)</f>
        <v>0.2</v>
      </c>
    </row>
    <row r="83" spans="1:18" x14ac:dyDescent="0.25">
      <c r="A83" s="11"/>
    </row>
    <row r="84" spans="1:18" ht="18" x14ac:dyDescent="0.25">
      <c r="A84" s="27" t="s">
        <v>21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7"/>
      <c r="P84" s="7"/>
      <c r="Q84" s="7"/>
      <c r="R84" s="7"/>
    </row>
    <row r="85" spans="1:18" x14ac:dyDescent="0.25">
      <c r="A85" s="11" t="s">
        <v>20</v>
      </c>
      <c r="B85" s="1" t="s">
        <v>7</v>
      </c>
      <c r="C85" s="1" t="s">
        <v>8</v>
      </c>
      <c r="D85" s="1" t="s">
        <v>9</v>
      </c>
      <c r="E85" s="1" t="s">
        <v>10</v>
      </c>
      <c r="F85" s="1" t="s">
        <v>11</v>
      </c>
      <c r="G85" s="1" t="s">
        <v>12</v>
      </c>
      <c r="H85" s="1" t="s">
        <v>13</v>
      </c>
      <c r="I85" s="1" t="s">
        <v>14</v>
      </c>
      <c r="J85" s="1" t="s">
        <v>15</v>
      </c>
      <c r="K85" s="1" t="s">
        <v>16</v>
      </c>
      <c r="L85" s="1" t="s">
        <v>17</v>
      </c>
      <c r="M85" s="1" t="s">
        <v>18</v>
      </c>
      <c r="N85" s="8" t="s">
        <v>19</v>
      </c>
    </row>
    <row r="86" spans="1:18" x14ac:dyDescent="0.25">
      <c r="A86" s="11">
        <v>2001</v>
      </c>
      <c r="B86" s="1">
        <f>80.1/8.75</f>
        <v>9.154285714285713</v>
      </c>
      <c r="C86" s="1">
        <f>81.74/8.75</f>
        <v>9.3417142857142856</v>
      </c>
      <c r="D86" s="1">
        <f>82.45/8.75</f>
        <v>9.4228571428571435</v>
      </c>
      <c r="E86" s="1">
        <f>89.76/8.75</f>
        <v>10.258285714285714</v>
      </c>
      <c r="F86" s="1">
        <f>95.58/8.75</f>
        <v>10.923428571428571</v>
      </c>
      <c r="G86" s="1">
        <f>97.3/8.75</f>
        <v>11.12</v>
      </c>
      <c r="H86" s="1">
        <f>104.8/8.75</f>
        <v>11.977142857142857</v>
      </c>
      <c r="I86" s="1">
        <f>109.97/8.75</f>
        <v>12.568</v>
      </c>
      <c r="J86" s="1">
        <f>109.17/8.75</f>
        <v>12.476571428571429</v>
      </c>
      <c r="K86" s="1">
        <f>97.47/8.75</f>
        <v>11.139428571428571</v>
      </c>
      <c r="L86" s="1">
        <f>83.33/8.75</f>
        <v>9.5234285714285711</v>
      </c>
      <c r="M86" s="1">
        <f>82.9/8.75</f>
        <v>9.4742857142857151</v>
      </c>
      <c r="N86" s="1">
        <f t="shared" ref="N86:N102" si="3">AVERAGE(B86:M86)</f>
        <v>10.61495238095238</v>
      </c>
    </row>
    <row r="87" spans="1:18" x14ac:dyDescent="0.25">
      <c r="A87" s="11">
        <v>2002</v>
      </c>
      <c r="B87" s="1">
        <f>76.22/8.75</f>
        <v>8.710857142857142</v>
      </c>
      <c r="C87" s="1">
        <f>66.53/8.75</f>
        <v>7.6034285714285712</v>
      </c>
      <c r="D87" s="1">
        <f>65.6/8.75</f>
        <v>7.4971428571428564</v>
      </c>
      <c r="E87" s="1">
        <f>66.29/8.75</f>
        <v>7.5760000000000005</v>
      </c>
      <c r="F87" s="1">
        <f>67.5/8.75</f>
        <v>7.7142857142857144</v>
      </c>
      <c r="G87" s="1">
        <f>65.04/8.75</f>
        <v>7.4331428571428582</v>
      </c>
      <c r="H87" s="1">
        <f>64.97/8.75</f>
        <v>7.4251428571428573</v>
      </c>
      <c r="I87" s="1">
        <f>62.12/8.75</f>
        <v>7.0994285714285708</v>
      </c>
      <c r="J87" s="1">
        <f>65.66/8.75</f>
        <v>7.5039999999999996</v>
      </c>
      <c r="K87" s="1">
        <f>66.69/8.75</f>
        <v>7.6217142857142859</v>
      </c>
      <c r="L87" s="1">
        <f>66.97/8.75</f>
        <v>7.6537142857142859</v>
      </c>
      <c r="M87" s="1">
        <f>71.08/8.75</f>
        <v>8.1234285714285708</v>
      </c>
      <c r="N87" s="1">
        <f t="shared" si="3"/>
        <v>7.6635238095238103</v>
      </c>
    </row>
    <row r="88" spans="1:18" x14ac:dyDescent="0.25">
      <c r="A88" s="11">
        <v>2003</v>
      </c>
      <c r="B88" s="1">
        <f>65.86/8.75</f>
        <v>7.5268571428571427</v>
      </c>
      <c r="C88" s="1">
        <f>66.54/8.75</f>
        <v>7.604571428571429</v>
      </c>
      <c r="D88" s="1">
        <f>73.37/8.75</f>
        <v>8.3851428571428581</v>
      </c>
      <c r="E88" s="1">
        <f>81.19/8.75</f>
        <v>9.2788571428571434</v>
      </c>
      <c r="F88" s="1">
        <f>78.75/8.75</f>
        <v>9</v>
      </c>
      <c r="G88" s="1">
        <f>76.25/8.75</f>
        <v>8.7142857142857135</v>
      </c>
      <c r="H88" s="1">
        <f>83.44/8.75</f>
        <v>9.5359999999999996</v>
      </c>
      <c r="I88" s="1">
        <f>105.47/8.75</f>
        <v>12.053714285714285</v>
      </c>
      <c r="J88" s="1">
        <f>107.95/8.75</f>
        <v>12.337142857142858</v>
      </c>
      <c r="K88" s="1">
        <f>127.64/8.75</f>
        <v>14.587428571428571</v>
      </c>
      <c r="L88" s="1">
        <f>164.66/8.75</f>
        <v>18.818285714285715</v>
      </c>
      <c r="M88" s="1">
        <f>103.59/8.75</f>
        <v>11.838857142857144</v>
      </c>
      <c r="N88" s="1">
        <f t="shared" si="3"/>
        <v>10.806761904761904</v>
      </c>
    </row>
    <row r="89" spans="1:18" x14ac:dyDescent="0.25">
      <c r="A89" s="11">
        <v>2004</v>
      </c>
      <c r="B89" s="1">
        <v>8.42</v>
      </c>
      <c r="C89" s="1">
        <v>9.02</v>
      </c>
      <c r="D89" s="1">
        <v>10.54</v>
      </c>
      <c r="E89" s="1">
        <v>11.57</v>
      </c>
      <c r="F89" s="1">
        <v>11.88</v>
      </c>
      <c r="G89" s="1">
        <v>11.87</v>
      </c>
      <c r="H89" s="1">
        <v>12.83</v>
      </c>
      <c r="I89" s="1">
        <v>13.55</v>
      </c>
      <c r="J89" s="1">
        <v>14.16</v>
      </c>
      <c r="K89" s="1">
        <v>14.12</v>
      </c>
      <c r="L89" s="1">
        <v>12.16</v>
      </c>
      <c r="M89" s="1">
        <v>11.06</v>
      </c>
      <c r="N89" s="1">
        <f t="shared" si="3"/>
        <v>11.765000000000001</v>
      </c>
    </row>
    <row r="90" spans="1:18" x14ac:dyDescent="0.25">
      <c r="A90" s="11">
        <v>2005</v>
      </c>
      <c r="B90" s="1">
        <v>9.4</v>
      </c>
      <c r="C90" s="1">
        <v>9.1300000000000008</v>
      </c>
      <c r="D90" s="1">
        <v>9.1300000000000008</v>
      </c>
      <c r="E90" s="1">
        <v>9.27</v>
      </c>
      <c r="F90" s="1">
        <v>9.06</v>
      </c>
      <c r="G90" s="1">
        <v>9</v>
      </c>
      <c r="H90" s="1">
        <v>8.99</v>
      </c>
      <c r="I90" s="1">
        <v>8.93</v>
      </c>
      <c r="J90" s="1">
        <v>9</v>
      </c>
      <c r="K90" s="1">
        <v>8.99</v>
      </c>
      <c r="L90" s="1">
        <v>9.02</v>
      </c>
      <c r="M90" s="1">
        <v>9</v>
      </c>
      <c r="N90" s="1">
        <f t="shared" si="3"/>
        <v>9.0766666666666662</v>
      </c>
    </row>
    <row r="91" spans="1:18" x14ac:dyDescent="0.25">
      <c r="A91" s="11">
        <v>2006</v>
      </c>
      <c r="B91" s="1">
        <v>8.7100000000000009</v>
      </c>
      <c r="C91" s="1">
        <v>8.6999999999999993</v>
      </c>
      <c r="D91" s="1">
        <v>11.68</v>
      </c>
      <c r="E91" s="1">
        <v>12.13</v>
      </c>
      <c r="F91" s="1">
        <v>12.13</v>
      </c>
      <c r="G91" s="1">
        <v>12.99</v>
      </c>
      <c r="H91" s="1">
        <v>14.91</v>
      </c>
      <c r="I91" s="1">
        <v>14.99</v>
      </c>
      <c r="J91" s="1">
        <v>17.14</v>
      </c>
      <c r="K91" s="1">
        <v>20.2</v>
      </c>
      <c r="L91" s="1">
        <v>20.350000000000001</v>
      </c>
      <c r="M91" s="1">
        <v>13.79</v>
      </c>
      <c r="N91" s="1">
        <f t="shared" si="3"/>
        <v>13.976666666666665</v>
      </c>
    </row>
    <row r="92" spans="1:18" x14ac:dyDescent="0.25">
      <c r="A92" s="11">
        <v>2007</v>
      </c>
      <c r="B92" s="1">
        <v>9.99</v>
      </c>
      <c r="C92" s="1">
        <v>11.18</v>
      </c>
      <c r="D92" s="1">
        <v>11.03</v>
      </c>
      <c r="E92" s="1">
        <v>12.02</v>
      </c>
      <c r="F92" s="1">
        <v>11.83</v>
      </c>
      <c r="G92" s="1">
        <v>15.77</v>
      </c>
      <c r="H92" s="1">
        <v>17.239999999999998</v>
      </c>
      <c r="I92" s="1">
        <v>17.38</v>
      </c>
      <c r="J92" s="1">
        <v>17.38</v>
      </c>
      <c r="K92" s="1">
        <v>16.239999999999998</v>
      </c>
      <c r="L92" s="1">
        <v>14.75</v>
      </c>
      <c r="M92" s="1">
        <v>14.58</v>
      </c>
      <c r="N92" s="1">
        <f t="shared" si="3"/>
        <v>14.115833333333333</v>
      </c>
    </row>
    <row r="93" spans="1:18" x14ac:dyDescent="0.25">
      <c r="A93" s="11">
        <v>2008</v>
      </c>
      <c r="B93" s="1">
        <v>14.04</v>
      </c>
      <c r="C93" s="1">
        <v>14.54</v>
      </c>
      <c r="D93" s="1">
        <v>16.239999999999998</v>
      </c>
      <c r="E93" s="1">
        <v>18.23</v>
      </c>
      <c r="F93" s="1">
        <v>18.2</v>
      </c>
      <c r="G93" s="1">
        <v>19.66</v>
      </c>
      <c r="H93" s="1">
        <v>18.91</v>
      </c>
      <c r="I93" s="1">
        <v>19.27</v>
      </c>
      <c r="J93" s="1">
        <v>18.239999999999998</v>
      </c>
      <c r="K93" s="1">
        <v>18.96</v>
      </c>
      <c r="L93" s="1">
        <v>18.329999999999998</v>
      </c>
      <c r="M93" s="1">
        <v>16.02</v>
      </c>
      <c r="N93" s="1">
        <f t="shared" si="3"/>
        <v>17.553333333333335</v>
      </c>
    </row>
    <row r="94" spans="1:18" x14ac:dyDescent="0.25">
      <c r="A94" s="11">
        <v>2009</v>
      </c>
      <c r="B94" s="1">
        <v>15.37</v>
      </c>
      <c r="C94" s="1">
        <v>15.4</v>
      </c>
      <c r="D94" s="1">
        <v>15.89</v>
      </c>
      <c r="E94" s="1">
        <v>17.04</v>
      </c>
      <c r="F94" s="1">
        <v>17.02</v>
      </c>
      <c r="G94" s="1">
        <v>16.670000000000002</v>
      </c>
      <c r="H94" s="1">
        <v>16.45</v>
      </c>
      <c r="I94" s="1">
        <v>16.48</v>
      </c>
      <c r="J94" s="1">
        <v>16.45</v>
      </c>
      <c r="K94" s="1">
        <v>16.46</v>
      </c>
      <c r="L94" s="1">
        <v>16.5</v>
      </c>
      <c r="M94" s="1">
        <v>15.71</v>
      </c>
      <c r="N94" s="1">
        <f t="shared" si="3"/>
        <v>16.286666666666665</v>
      </c>
    </row>
    <row r="95" spans="1:18" x14ac:dyDescent="0.25">
      <c r="A95" s="11">
        <v>2010</v>
      </c>
      <c r="B95" s="1">
        <v>12.49</v>
      </c>
      <c r="C95" s="1">
        <v>12.19</v>
      </c>
      <c r="D95" s="1">
        <v>12.09</v>
      </c>
      <c r="E95" s="1">
        <v>11.21</v>
      </c>
      <c r="F95" s="1">
        <v>11</v>
      </c>
      <c r="G95" s="1">
        <v>11.46</v>
      </c>
      <c r="H95" s="1">
        <v>11.54</v>
      </c>
      <c r="I95" s="1">
        <v>11.86</v>
      </c>
      <c r="J95" s="1">
        <v>13.33</v>
      </c>
      <c r="K95" s="1">
        <v>13.78</v>
      </c>
      <c r="L95" s="1">
        <v>15.08</v>
      </c>
      <c r="M95" s="1">
        <v>15.49</v>
      </c>
      <c r="N95" s="1">
        <f t="shared" si="3"/>
        <v>12.626666666666667</v>
      </c>
    </row>
    <row r="96" spans="1:18" x14ac:dyDescent="0.25">
      <c r="A96" s="11">
        <v>2011</v>
      </c>
      <c r="B96" s="1">
        <v>16.21</v>
      </c>
      <c r="C96" s="1">
        <v>16.489999999999998</v>
      </c>
      <c r="D96" s="1">
        <v>19.239999999999998</v>
      </c>
      <c r="E96" s="1">
        <v>22.58</v>
      </c>
      <c r="F96" s="1">
        <v>22.72</v>
      </c>
      <c r="G96" s="1">
        <v>24.3</v>
      </c>
      <c r="H96" s="1">
        <v>25.64</v>
      </c>
      <c r="I96" s="1">
        <v>31.16</v>
      </c>
      <c r="J96" s="1">
        <v>33.65</v>
      </c>
      <c r="K96" s="1">
        <v>33.92</v>
      </c>
      <c r="L96" s="1">
        <v>35.64</v>
      </c>
      <c r="M96" s="1">
        <v>18.91</v>
      </c>
      <c r="N96" s="1">
        <f t="shared" si="3"/>
        <v>25.038333333333338</v>
      </c>
    </row>
    <row r="97" spans="1:18" x14ac:dyDescent="0.25">
      <c r="A97" s="11">
        <v>2012</v>
      </c>
      <c r="B97" s="1">
        <v>16.45</v>
      </c>
      <c r="C97" s="1">
        <v>15</v>
      </c>
      <c r="D97" s="1">
        <v>15.79</v>
      </c>
      <c r="E97" s="1">
        <v>17.28</v>
      </c>
      <c r="F97" s="1">
        <v>17.010000000000002</v>
      </c>
      <c r="G97" s="1">
        <v>17.440000000000001</v>
      </c>
      <c r="H97" s="1">
        <v>17.260000000000002</v>
      </c>
      <c r="I97" s="1">
        <v>18.25</v>
      </c>
      <c r="J97" s="1">
        <v>18.12</v>
      </c>
      <c r="K97" s="1">
        <v>16.86</v>
      </c>
      <c r="L97" s="1">
        <v>15.03</v>
      </c>
      <c r="M97" s="1">
        <v>14.29</v>
      </c>
      <c r="N97" s="1">
        <f t="shared" si="3"/>
        <v>16.565000000000001</v>
      </c>
    </row>
    <row r="98" spans="1:18" x14ac:dyDescent="0.25">
      <c r="A98" s="11">
        <v>2013</v>
      </c>
      <c r="B98" s="1">
        <v>12.81</v>
      </c>
      <c r="C98" s="1">
        <v>12.24</v>
      </c>
      <c r="D98" s="1">
        <v>13.2</v>
      </c>
      <c r="E98" s="1">
        <v>14.48</v>
      </c>
      <c r="F98" s="1">
        <v>14.27</v>
      </c>
      <c r="G98" s="1">
        <v>14.68</v>
      </c>
      <c r="H98" s="1">
        <v>14.49</v>
      </c>
      <c r="I98" s="1">
        <v>14.28</v>
      </c>
      <c r="J98" s="1">
        <v>14.24</v>
      </c>
      <c r="K98" s="1">
        <v>14.38</v>
      </c>
      <c r="L98" s="1">
        <v>14.37</v>
      </c>
      <c r="M98" s="1">
        <v>13.87</v>
      </c>
      <c r="N98" s="1">
        <f t="shared" si="3"/>
        <v>13.942500000000001</v>
      </c>
    </row>
    <row r="99" spans="1:18" x14ac:dyDescent="0.25">
      <c r="A99" s="11">
        <v>2014</v>
      </c>
      <c r="B99" s="1">
        <v>12.08</v>
      </c>
      <c r="C99" s="1">
        <v>11.75</v>
      </c>
      <c r="D99" s="1">
        <v>11.27</v>
      </c>
      <c r="E99" s="1">
        <v>11.72</v>
      </c>
      <c r="F99" s="1">
        <v>12.27</v>
      </c>
      <c r="G99" s="1">
        <v>13.05</v>
      </c>
      <c r="H99" s="1">
        <v>14.82</v>
      </c>
      <c r="I99" s="1">
        <v>21.7</v>
      </c>
      <c r="J99" s="1">
        <v>18.809999999999999</v>
      </c>
      <c r="K99" s="1">
        <v>17.5</v>
      </c>
      <c r="L99" s="1">
        <v>16.079999999999998</v>
      </c>
      <c r="M99" s="1">
        <v>14.63</v>
      </c>
      <c r="N99" s="1">
        <f t="shared" si="3"/>
        <v>14.639999999999995</v>
      </c>
    </row>
    <row r="100" spans="1:18" x14ac:dyDescent="0.25">
      <c r="A100" s="11">
        <v>2015</v>
      </c>
      <c r="B100" s="1">
        <v>13</v>
      </c>
      <c r="C100" s="1">
        <v>13.7</v>
      </c>
      <c r="D100" s="1">
        <v>15.2</v>
      </c>
      <c r="E100" s="1">
        <v>16.13</v>
      </c>
      <c r="F100" s="1">
        <v>15.67</v>
      </c>
      <c r="G100" s="1">
        <v>16.09</v>
      </c>
      <c r="H100" s="1">
        <v>21.75</v>
      </c>
      <c r="I100" s="1">
        <v>21.21</v>
      </c>
      <c r="J100" s="1">
        <v>21</v>
      </c>
      <c r="K100" s="1">
        <v>21.57</v>
      </c>
      <c r="L100" s="1">
        <v>28.6</v>
      </c>
      <c r="M100" s="1">
        <v>24.07</v>
      </c>
      <c r="N100" s="1">
        <f t="shared" si="3"/>
        <v>18.999166666666664</v>
      </c>
    </row>
    <row r="101" spans="1:18" x14ac:dyDescent="0.25">
      <c r="A101" s="11">
        <v>2016</v>
      </c>
      <c r="B101" s="1">
        <v>18.47</v>
      </c>
      <c r="C101" s="1">
        <v>18.77</v>
      </c>
      <c r="D101" s="1">
        <v>19.04</v>
      </c>
      <c r="E101" s="1">
        <v>18.899999999999999</v>
      </c>
      <c r="F101" s="1">
        <v>18.88</v>
      </c>
      <c r="G101" s="1">
        <v>19.04</v>
      </c>
      <c r="H101" s="1">
        <v>20.93</v>
      </c>
      <c r="I101" s="1">
        <v>21.48</v>
      </c>
      <c r="J101" s="1">
        <v>20.5</v>
      </c>
      <c r="K101" s="1">
        <v>18.78</v>
      </c>
      <c r="L101" s="1">
        <v>18.079999999999998</v>
      </c>
      <c r="M101" s="1">
        <v>18.059999999999999</v>
      </c>
      <c r="N101" s="1">
        <f t="shared" si="3"/>
        <v>19.244166666666668</v>
      </c>
    </row>
    <row r="102" spans="1:18" x14ac:dyDescent="0.25">
      <c r="A102" s="11">
        <v>2017</v>
      </c>
      <c r="B102" s="2">
        <v>16.649999999999999</v>
      </c>
      <c r="C102" s="2">
        <v>16.89</v>
      </c>
      <c r="D102" s="2">
        <v>17.41</v>
      </c>
      <c r="E102" s="2">
        <v>20.440000000000001</v>
      </c>
      <c r="F102" s="2">
        <v>22.46</v>
      </c>
      <c r="G102" s="2">
        <v>22.05</v>
      </c>
      <c r="H102" s="2">
        <v>22.21</v>
      </c>
      <c r="I102" s="2">
        <v>21.97</v>
      </c>
      <c r="J102" s="2">
        <v>21.86</v>
      </c>
      <c r="K102" s="2">
        <v>21.97</v>
      </c>
      <c r="L102" s="2">
        <v>21.89</v>
      </c>
      <c r="M102" s="2">
        <v>11.87</v>
      </c>
      <c r="N102" s="2">
        <f t="shared" si="3"/>
        <v>19.805833333333336</v>
      </c>
    </row>
    <row r="103" spans="1:18" x14ac:dyDescent="0.25">
      <c r="A103" s="11">
        <v>2018</v>
      </c>
      <c r="B103" s="2">
        <v>16.34</v>
      </c>
      <c r="C103" s="2">
        <v>17.25</v>
      </c>
      <c r="D103" s="2">
        <v>16.86</v>
      </c>
      <c r="E103" s="2">
        <v>16.75</v>
      </c>
      <c r="F103" s="2">
        <v>16.77</v>
      </c>
      <c r="G103" s="2">
        <v>16.78</v>
      </c>
      <c r="H103" s="2">
        <v>17.440000000000001</v>
      </c>
      <c r="I103" s="2">
        <v>20.99</v>
      </c>
      <c r="J103" s="2">
        <v>20.62</v>
      </c>
      <c r="K103" s="2">
        <v>19.77</v>
      </c>
      <c r="L103" s="2">
        <v>18.670000000000002</v>
      </c>
      <c r="M103" s="2">
        <v>16.21</v>
      </c>
      <c r="N103" s="2">
        <f>AVERAGE(B103:M103)</f>
        <v>17.870833333333334</v>
      </c>
    </row>
    <row r="104" spans="1:18" x14ac:dyDescent="0.25">
      <c r="A104" s="11">
        <v>2019</v>
      </c>
      <c r="B104" s="2">
        <v>15.21</v>
      </c>
      <c r="C104" s="2" t="s">
        <v>32</v>
      </c>
      <c r="D104" s="2">
        <v>15.27</v>
      </c>
      <c r="E104" s="2">
        <v>15.67</v>
      </c>
      <c r="F104" s="2">
        <v>16.239999999999998</v>
      </c>
      <c r="G104" s="2">
        <v>16.399999999999999</v>
      </c>
      <c r="H104" s="2">
        <v>18.96</v>
      </c>
      <c r="I104" s="2">
        <v>19.829999999999998</v>
      </c>
      <c r="J104" s="2">
        <v>19.260000000000002</v>
      </c>
      <c r="K104" s="2">
        <v>18.63</v>
      </c>
      <c r="L104" s="2">
        <v>19.100000000000001</v>
      </c>
      <c r="M104" s="2">
        <v>17.579999999999998</v>
      </c>
      <c r="N104" s="2">
        <f>AVERAGE(B104:M104)</f>
        <v>17.468181818181815</v>
      </c>
    </row>
    <row r="105" spans="1:18" x14ac:dyDescent="0.25">
      <c r="A105" s="11">
        <v>2020</v>
      </c>
      <c r="B105" s="2">
        <v>14.46</v>
      </c>
      <c r="C105" s="2">
        <v>14.52</v>
      </c>
      <c r="D105" s="2">
        <v>15.02</v>
      </c>
      <c r="E105" s="2">
        <v>16.72</v>
      </c>
      <c r="F105" s="2">
        <v>16.670000000000002</v>
      </c>
      <c r="G105" s="2">
        <v>16.73</v>
      </c>
      <c r="H105" s="2">
        <v>16.71</v>
      </c>
      <c r="I105" s="2">
        <v>16.003875968992247</v>
      </c>
      <c r="J105" s="2">
        <v>16.355504587155963</v>
      </c>
      <c r="K105" s="2">
        <v>16.088000000000001</v>
      </c>
      <c r="L105" s="2">
        <v>15.907079646017699</v>
      </c>
      <c r="M105" s="2">
        <v>15.86</v>
      </c>
      <c r="N105" s="2">
        <f>AVERAGE(B105:M105)</f>
        <v>15.920371683513826</v>
      </c>
    </row>
    <row r="106" spans="1:18" x14ac:dyDescent="0.25">
      <c r="A106" s="11">
        <v>2021</v>
      </c>
      <c r="B106" s="19">
        <v>14</v>
      </c>
      <c r="C106" s="21">
        <v>13.29</v>
      </c>
      <c r="D106" s="23">
        <v>13.6</v>
      </c>
      <c r="E106" s="25">
        <v>14.74</v>
      </c>
      <c r="L106" s="18"/>
      <c r="M106" s="18"/>
      <c r="N106" s="19">
        <f>AVERAGE(B106:M106)</f>
        <v>13.907500000000001</v>
      </c>
    </row>
    <row r="107" spans="1:18" x14ac:dyDescent="0.25">
      <c r="L107" s="18"/>
      <c r="M107" s="18"/>
    </row>
    <row r="108" spans="1:18" ht="20.25" x14ac:dyDescent="0.3">
      <c r="A108" s="28" t="s">
        <v>25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6"/>
      <c r="P108" s="6"/>
      <c r="Q108" s="6"/>
      <c r="R108" s="6"/>
    </row>
    <row r="109" spans="1:18" ht="18" x14ac:dyDescent="0.25">
      <c r="A109" s="27" t="s">
        <v>6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7"/>
      <c r="P109" s="7"/>
      <c r="Q109" s="7"/>
      <c r="R109" s="7"/>
    </row>
    <row r="110" spans="1:18" x14ac:dyDescent="0.25">
      <c r="A110" s="11" t="s">
        <v>20</v>
      </c>
      <c r="B110" s="1" t="s">
        <v>7</v>
      </c>
      <c r="C110" s="1" t="s">
        <v>8</v>
      </c>
      <c r="D110" s="1" t="s">
        <v>9</v>
      </c>
      <c r="E110" s="1" t="s">
        <v>10</v>
      </c>
      <c r="F110" s="1" t="s">
        <v>11</v>
      </c>
      <c r="G110" s="1" t="s">
        <v>12</v>
      </c>
      <c r="H110" s="1" t="s">
        <v>13</v>
      </c>
      <c r="I110" s="1" t="s">
        <v>14</v>
      </c>
      <c r="J110" s="1" t="s">
        <v>15</v>
      </c>
      <c r="K110" s="1" t="s">
        <v>16</v>
      </c>
      <c r="L110" s="1" t="s">
        <v>17</v>
      </c>
      <c r="M110" s="1" t="s">
        <v>18</v>
      </c>
      <c r="N110" s="8" t="s">
        <v>19</v>
      </c>
    </row>
    <row r="111" spans="1:18" x14ac:dyDescent="0.25">
      <c r="A111" s="11">
        <v>2001</v>
      </c>
      <c r="B111" s="1">
        <f>2.88/8.75</f>
        <v>0.32914285714285713</v>
      </c>
      <c r="C111" s="1">
        <f>2.87/8.75</f>
        <v>0.32800000000000001</v>
      </c>
      <c r="D111" s="1">
        <f>2.88/8.75</f>
        <v>0.32914285714285713</v>
      </c>
      <c r="E111" s="1">
        <f>2.89/8.75</f>
        <v>0.33028571428571429</v>
      </c>
      <c r="F111" s="1">
        <f>2.88/8.75</f>
        <v>0.32914285714285713</v>
      </c>
      <c r="G111" s="1">
        <f>2.89/8.75</f>
        <v>0.33028571428571429</v>
      </c>
      <c r="H111" s="1">
        <f>2.9/8.75</f>
        <v>0.33142857142857141</v>
      </c>
      <c r="I111" s="1">
        <f>2.84/8.75</f>
        <v>0.32457142857142857</v>
      </c>
      <c r="J111" s="1">
        <f>2.77/8.75</f>
        <v>0.31657142857142856</v>
      </c>
      <c r="K111" s="1">
        <f>2.76/8.75</f>
        <v>0.31542857142857139</v>
      </c>
      <c r="L111" s="1">
        <f>2.71/8.75</f>
        <v>0.30971428571428572</v>
      </c>
      <c r="M111" s="1">
        <f>2.75/8.75</f>
        <v>0.31428571428571428</v>
      </c>
      <c r="N111" s="1">
        <f t="shared" ref="N111:N127" si="4">AVERAGE(B111:M111)</f>
        <v>0.32400000000000001</v>
      </c>
    </row>
    <row r="112" spans="1:18" x14ac:dyDescent="0.25">
      <c r="A112" s="11">
        <v>2002</v>
      </c>
      <c r="B112" s="1">
        <f>2.75/8.75</f>
        <v>0.31428571428571428</v>
      </c>
      <c r="C112" s="1">
        <f>2.74/8.75</f>
        <v>0.31314285714285717</v>
      </c>
      <c r="D112" s="1">
        <f>2.75/8.75</f>
        <v>0.31428571428571428</v>
      </c>
      <c r="E112" s="1">
        <f>2.75/8.75</f>
        <v>0.31428571428571428</v>
      </c>
      <c r="F112" s="1">
        <f>2.75/8.75</f>
        <v>0.31428571428571428</v>
      </c>
      <c r="G112" s="1">
        <f>2.77/8.75</f>
        <v>0.31657142857142856</v>
      </c>
      <c r="H112" s="1">
        <f>2.74/8.75</f>
        <v>0.31314285714285717</v>
      </c>
      <c r="I112" s="1">
        <f>2.76/8.75</f>
        <v>0.31542857142857139</v>
      </c>
      <c r="J112" s="1">
        <f>2.75/8.75</f>
        <v>0.31428571428571428</v>
      </c>
      <c r="K112" s="1">
        <f>2.7/8.75</f>
        <v>0.30857142857142861</v>
      </c>
      <c r="L112" s="1">
        <f>2.69/8.75</f>
        <v>0.30742857142857144</v>
      </c>
      <c r="M112" s="1">
        <f>2.7/8.75</f>
        <v>0.30857142857142861</v>
      </c>
      <c r="N112" s="1">
        <f t="shared" si="4"/>
        <v>0.31285714285714289</v>
      </c>
    </row>
    <row r="113" spans="1:14" x14ac:dyDescent="0.25">
      <c r="A113" s="11">
        <v>2003</v>
      </c>
      <c r="B113" s="1">
        <f>2.8/8.75</f>
        <v>0.32</v>
      </c>
      <c r="C113" s="1">
        <f>2.86/8.75</f>
        <v>0.32685714285714285</v>
      </c>
      <c r="D113" s="1">
        <f>2.87/8.75</f>
        <v>0.32800000000000001</v>
      </c>
      <c r="E113" s="1">
        <f>2.87/8.75</f>
        <v>0.32800000000000001</v>
      </c>
      <c r="F113" s="1">
        <f>2.93/8.75</f>
        <v>0.33485714285714285</v>
      </c>
      <c r="G113" s="1">
        <f>2.76/8.75</f>
        <v>0.31542857142857139</v>
      </c>
      <c r="H113" s="1">
        <f>2.97/8.75</f>
        <v>0.33942857142857147</v>
      </c>
      <c r="I113" s="1">
        <f>2.91/8.75</f>
        <v>0.33257142857142857</v>
      </c>
      <c r="J113" s="1">
        <f>2.85/8.75</f>
        <v>0.32571428571428573</v>
      </c>
      <c r="K113" s="1">
        <f>2.88/8.75</f>
        <v>0.32914285714285713</v>
      </c>
      <c r="L113" s="1">
        <f>2.69/8.75</f>
        <v>0.30742857142857144</v>
      </c>
      <c r="M113" s="1">
        <f>2.72/8.75</f>
        <v>0.31085714285714289</v>
      </c>
      <c r="N113" s="1">
        <f t="shared" si="4"/>
        <v>0.3248571428571429</v>
      </c>
    </row>
    <row r="114" spans="1:14" x14ac:dyDescent="0.25">
      <c r="A114" s="11">
        <v>2004</v>
      </c>
      <c r="B114" s="1">
        <v>0.31</v>
      </c>
      <c r="C114" s="1">
        <v>0.32</v>
      </c>
      <c r="D114" s="1">
        <v>0.32</v>
      </c>
      <c r="E114" s="1">
        <v>0.32</v>
      </c>
      <c r="F114" s="1">
        <v>0.32</v>
      </c>
      <c r="G114" s="1">
        <v>0.3</v>
      </c>
      <c r="H114" s="1">
        <v>0.32</v>
      </c>
      <c r="I114" s="1">
        <v>0.3</v>
      </c>
      <c r="J114" s="1">
        <v>0.3</v>
      </c>
      <c r="K114" s="1">
        <v>0.3</v>
      </c>
      <c r="L114" s="1">
        <v>0.3</v>
      </c>
      <c r="M114" s="1">
        <v>0.3</v>
      </c>
      <c r="N114" s="1">
        <f t="shared" si="4"/>
        <v>0.30916666666666659</v>
      </c>
    </row>
    <row r="115" spans="1:14" x14ac:dyDescent="0.25">
      <c r="A115" s="11">
        <v>2005</v>
      </c>
      <c r="B115" s="1">
        <v>0.3</v>
      </c>
      <c r="C115" s="1">
        <v>0.31</v>
      </c>
      <c r="D115" s="1">
        <v>0.32</v>
      </c>
      <c r="E115" s="1">
        <v>0.3</v>
      </c>
      <c r="F115" s="1">
        <v>0.32</v>
      </c>
      <c r="G115" s="1">
        <v>0.32</v>
      </c>
      <c r="H115" s="1">
        <v>0.32</v>
      </c>
      <c r="I115" s="1">
        <v>0.32</v>
      </c>
      <c r="J115" s="1">
        <v>0.32</v>
      </c>
      <c r="K115" s="1">
        <v>0.32</v>
      </c>
      <c r="L115" s="1">
        <v>0.33</v>
      </c>
      <c r="M115" s="1">
        <v>0.33</v>
      </c>
      <c r="N115" s="1">
        <f t="shared" si="4"/>
        <v>0.31749999999999995</v>
      </c>
    </row>
    <row r="116" spans="1:14" x14ac:dyDescent="0.25">
      <c r="A116" s="11">
        <v>2006</v>
      </c>
      <c r="B116" s="1">
        <v>0.33</v>
      </c>
      <c r="C116" s="1">
        <v>0.33</v>
      </c>
      <c r="D116" s="1">
        <v>0.33</v>
      </c>
      <c r="E116" s="1">
        <v>0.33</v>
      </c>
      <c r="F116" s="1">
        <v>0.33</v>
      </c>
      <c r="G116" s="1">
        <v>0.34</v>
      </c>
      <c r="H116" s="1">
        <v>0.33</v>
      </c>
      <c r="I116" s="1">
        <v>0.33</v>
      </c>
      <c r="J116" s="1">
        <v>0.33</v>
      </c>
      <c r="K116" s="1">
        <v>0.34</v>
      </c>
      <c r="L116" s="1">
        <v>0.34</v>
      </c>
      <c r="M116" s="1">
        <v>0.33</v>
      </c>
      <c r="N116" s="1">
        <f t="shared" si="4"/>
        <v>0.33250000000000002</v>
      </c>
    </row>
    <row r="117" spans="1:14" x14ac:dyDescent="0.25">
      <c r="A117" s="11">
        <v>2007</v>
      </c>
      <c r="B117" s="1">
        <v>0.33</v>
      </c>
      <c r="C117" s="1">
        <v>0.33</v>
      </c>
      <c r="D117" s="1">
        <v>0.33</v>
      </c>
      <c r="E117" s="1">
        <v>0.33</v>
      </c>
      <c r="F117" s="1">
        <v>0.33</v>
      </c>
      <c r="G117" s="1">
        <v>0.34</v>
      </c>
      <c r="H117" s="1">
        <v>0.34</v>
      </c>
      <c r="I117" s="1">
        <v>0.36</v>
      </c>
      <c r="J117" s="1">
        <v>0.43</v>
      </c>
      <c r="K117" s="1">
        <v>0.43</v>
      </c>
      <c r="L117" s="1">
        <v>0.48</v>
      </c>
      <c r="M117" s="1">
        <v>0.5</v>
      </c>
      <c r="N117" s="1">
        <f t="shared" si="4"/>
        <v>0.3775</v>
      </c>
    </row>
    <row r="118" spans="1:14" x14ac:dyDescent="0.25">
      <c r="A118" s="11">
        <v>2008</v>
      </c>
      <c r="B118" s="1">
        <v>0.51</v>
      </c>
      <c r="C118" s="1">
        <v>0.5</v>
      </c>
      <c r="D118" s="1">
        <v>0.51</v>
      </c>
      <c r="E118" s="1">
        <v>0.56000000000000005</v>
      </c>
      <c r="F118" s="1">
        <v>0.59</v>
      </c>
      <c r="G118" s="1">
        <v>0.63</v>
      </c>
      <c r="H118" s="1">
        <v>0.63</v>
      </c>
      <c r="I118" s="1">
        <v>0.65</v>
      </c>
      <c r="J118" s="1">
        <v>0.66</v>
      </c>
      <c r="K118" s="1">
        <v>0.66</v>
      </c>
      <c r="L118" s="1">
        <v>0.66</v>
      </c>
      <c r="M118" s="1">
        <v>0.66</v>
      </c>
      <c r="N118" s="1">
        <f t="shared" si="4"/>
        <v>0.60166666666666668</v>
      </c>
    </row>
    <row r="119" spans="1:14" x14ac:dyDescent="0.25">
      <c r="A119" s="11">
        <v>2009</v>
      </c>
      <c r="B119" s="1">
        <v>0.67</v>
      </c>
      <c r="C119" s="1">
        <v>0.63</v>
      </c>
      <c r="D119" s="1">
        <v>0.65</v>
      </c>
      <c r="E119" s="1">
        <v>0.65</v>
      </c>
      <c r="F119" s="1">
        <v>0.63</v>
      </c>
      <c r="G119" s="1">
        <v>0.63</v>
      </c>
      <c r="H119" s="1">
        <v>0.62</v>
      </c>
      <c r="I119" s="1">
        <v>0.62</v>
      </c>
      <c r="J119" s="1">
        <v>0.62</v>
      </c>
      <c r="K119" s="1">
        <v>0.56000000000000005</v>
      </c>
      <c r="L119" s="1">
        <v>0.52</v>
      </c>
      <c r="M119" s="1">
        <v>0.52</v>
      </c>
      <c r="N119" s="1">
        <f t="shared" si="4"/>
        <v>0.60999999999999988</v>
      </c>
    </row>
    <row r="120" spans="1:14" x14ac:dyDescent="0.25">
      <c r="A120" s="11">
        <v>2010</v>
      </c>
      <c r="B120" s="1">
        <v>0.47</v>
      </c>
      <c r="C120" s="1">
        <v>0.48</v>
      </c>
      <c r="D120" s="1">
        <v>0.48</v>
      </c>
      <c r="E120" s="1">
        <v>0.49</v>
      </c>
      <c r="F120" s="1">
        <v>0.5</v>
      </c>
      <c r="G120" s="1">
        <v>0.51</v>
      </c>
      <c r="H120" s="1">
        <v>0.5</v>
      </c>
      <c r="I120" s="1">
        <v>0.5</v>
      </c>
      <c r="J120" s="1">
        <v>0.48</v>
      </c>
      <c r="K120" s="1">
        <v>0.48</v>
      </c>
      <c r="L120" s="1">
        <v>0.48</v>
      </c>
      <c r="M120" s="1">
        <v>0.49</v>
      </c>
      <c r="N120" s="1">
        <f t="shared" si="4"/>
        <v>0.48833333333333345</v>
      </c>
    </row>
    <row r="121" spans="1:14" x14ac:dyDescent="0.25">
      <c r="A121" s="11">
        <v>2011</v>
      </c>
      <c r="B121" s="1">
        <v>0.48</v>
      </c>
      <c r="C121" s="1">
        <v>0.48</v>
      </c>
      <c r="D121" s="1">
        <v>0.46</v>
      </c>
      <c r="E121" s="1">
        <v>0.47</v>
      </c>
      <c r="F121" s="1">
        <v>0.5</v>
      </c>
      <c r="G121" s="1">
        <v>0.5</v>
      </c>
      <c r="H121" s="1">
        <v>0.5</v>
      </c>
      <c r="I121" s="1">
        <v>0.5</v>
      </c>
      <c r="J121" s="1">
        <v>0.5</v>
      </c>
      <c r="K121" s="1">
        <v>0.5</v>
      </c>
      <c r="L121" s="1">
        <v>0.5</v>
      </c>
      <c r="M121" s="1">
        <v>0.5</v>
      </c>
      <c r="N121" s="1">
        <f t="shared" si="4"/>
        <v>0.49083333333333329</v>
      </c>
    </row>
    <row r="122" spans="1:14" x14ac:dyDescent="0.25">
      <c r="A122" s="11">
        <v>2012</v>
      </c>
      <c r="B122" s="1">
        <v>0.49</v>
      </c>
      <c r="C122" s="1">
        <v>0.5</v>
      </c>
      <c r="D122" s="1">
        <v>0.5</v>
      </c>
      <c r="E122" s="1">
        <v>0.5</v>
      </c>
      <c r="F122" s="1">
        <v>0.5</v>
      </c>
      <c r="G122" s="1">
        <v>0.5</v>
      </c>
      <c r="H122" s="1">
        <v>0.5</v>
      </c>
      <c r="I122" s="1">
        <v>0.5</v>
      </c>
      <c r="J122" s="1">
        <v>0.5</v>
      </c>
      <c r="K122" s="1">
        <v>0.5</v>
      </c>
      <c r="L122" s="1">
        <v>0.5</v>
      </c>
      <c r="M122" s="1">
        <v>0.5</v>
      </c>
      <c r="N122" s="1">
        <f t="shared" si="4"/>
        <v>0.4991666666666667</v>
      </c>
    </row>
    <row r="123" spans="1:14" x14ac:dyDescent="0.25">
      <c r="A123" s="11">
        <v>2013</v>
      </c>
      <c r="B123" s="1">
        <v>0.47</v>
      </c>
      <c r="C123" s="1">
        <v>0.47</v>
      </c>
      <c r="D123" s="1">
        <v>0.46</v>
      </c>
      <c r="E123" s="1">
        <v>0.47</v>
      </c>
      <c r="F123" s="1">
        <v>0.47</v>
      </c>
      <c r="G123" s="1">
        <v>0.47</v>
      </c>
      <c r="H123" s="1">
        <v>0.47</v>
      </c>
      <c r="I123" s="1">
        <v>0.47</v>
      </c>
      <c r="J123" s="1">
        <v>0.47</v>
      </c>
      <c r="K123" s="1">
        <v>0.48</v>
      </c>
      <c r="L123" s="1">
        <v>0.47</v>
      </c>
      <c r="M123" s="1">
        <v>0.47</v>
      </c>
      <c r="N123" s="1">
        <f t="shared" si="4"/>
        <v>0.46999999999999992</v>
      </c>
    </row>
    <row r="124" spans="1:14" x14ac:dyDescent="0.25">
      <c r="A124" s="11">
        <v>2014</v>
      </c>
      <c r="B124" s="1">
        <v>0.46</v>
      </c>
      <c r="C124" s="1">
        <v>0.47</v>
      </c>
      <c r="D124" s="1">
        <v>0.5</v>
      </c>
      <c r="E124" s="1">
        <v>0.5</v>
      </c>
      <c r="F124" s="1">
        <v>0.5</v>
      </c>
      <c r="G124" s="1">
        <v>0.5</v>
      </c>
      <c r="H124" s="1">
        <v>0.52</v>
      </c>
      <c r="I124" s="1">
        <v>0.53</v>
      </c>
      <c r="J124" s="1">
        <v>0.52</v>
      </c>
      <c r="K124" s="1">
        <v>0.51</v>
      </c>
      <c r="L124" s="1">
        <v>0.5</v>
      </c>
      <c r="M124" s="1">
        <v>0.5</v>
      </c>
      <c r="N124" s="1">
        <f t="shared" si="4"/>
        <v>0.50083333333333335</v>
      </c>
    </row>
    <row r="125" spans="1:14" x14ac:dyDescent="0.25">
      <c r="A125" s="11">
        <v>2015</v>
      </c>
      <c r="B125" s="1">
        <v>0.48</v>
      </c>
      <c r="C125" s="1">
        <v>0.49</v>
      </c>
      <c r="D125" s="1">
        <v>0.5</v>
      </c>
      <c r="E125" s="1">
        <v>0.47</v>
      </c>
      <c r="F125" s="1">
        <v>0.47</v>
      </c>
      <c r="G125" s="1">
        <v>0.48</v>
      </c>
      <c r="H125" s="1">
        <v>0.48</v>
      </c>
      <c r="I125" s="1">
        <v>0.47</v>
      </c>
      <c r="J125" s="1">
        <v>0.45</v>
      </c>
      <c r="K125" s="1">
        <v>0.45</v>
      </c>
      <c r="L125" s="1">
        <v>0.45</v>
      </c>
      <c r="M125" s="1">
        <v>0.45</v>
      </c>
      <c r="N125" s="1">
        <f t="shared" si="4"/>
        <v>0.47000000000000003</v>
      </c>
    </row>
    <row r="126" spans="1:14" x14ac:dyDescent="0.25">
      <c r="A126" s="11">
        <v>2016</v>
      </c>
      <c r="B126" s="1">
        <v>0.45</v>
      </c>
      <c r="C126" s="1">
        <v>0.45</v>
      </c>
      <c r="D126" s="1">
        <v>0.45</v>
      </c>
      <c r="E126" s="1">
        <v>0.45</v>
      </c>
      <c r="F126" s="1">
        <v>0.45</v>
      </c>
      <c r="G126" s="1">
        <v>0.45</v>
      </c>
      <c r="H126" s="1">
        <v>0.45</v>
      </c>
      <c r="I126" s="1">
        <v>0.45</v>
      </c>
      <c r="J126" s="1">
        <v>0.44</v>
      </c>
      <c r="K126" s="1">
        <v>0.45</v>
      </c>
      <c r="L126" s="1">
        <v>0.45</v>
      </c>
      <c r="M126" s="1">
        <v>0.45</v>
      </c>
      <c r="N126" s="1">
        <f t="shared" si="4"/>
        <v>0.44916666666666677</v>
      </c>
    </row>
    <row r="127" spans="1:14" x14ac:dyDescent="0.25">
      <c r="A127" s="11">
        <v>2017</v>
      </c>
      <c r="B127" s="2">
        <v>0.45</v>
      </c>
      <c r="C127" s="2">
        <v>0.45</v>
      </c>
      <c r="D127" s="2">
        <v>0.45</v>
      </c>
      <c r="E127" s="2">
        <v>0.45</v>
      </c>
      <c r="F127" s="2">
        <v>0.45</v>
      </c>
      <c r="G127" s="2">
        <v>0.45</v>
      </c>
      <c r="H127" s="2">
        <v>0.45</v>
      </c>
      <c r="I127" s="2">
        <v>0.45</v>
      </c>
      <c r="J127" s="2">
        <v>0.45</v>
      </c>
      <c r="K127" s="2">
        <v>0.45</v>
      </c>
      <c r="L127" s="2">
        <v>0.45</v>
      </c>
      <c r="M127" s="2">
        <v>0.45</v>
      </c>
      <c r="N127" s="2">
        <f t="shared" si="4"/>
        <v>0.45000000000000012</v>
      </c>
    </row>
    <row r="128" spans="1:14" x14ac:dyDescent="0.25">
      <c r="A128" s="11">
        <v>2018</v>
      </c>
      <c r="B128" s="2">
        <v>0.45</v>
      </c>
      <c r="C128" s="2">
        <v>0.45</v>
      </c>
      <c r="D128" s="2">
        <v>0.46</v>
      </c>
      <c r="E128" s="2">
        <v>0.45</v>
      </c>
      <c r="F128" s="2">
        <v>0.45</v>
      </c>
      <c r="G128" s="2">
        <v>0.45</v>
      </c>
      <c r="H128" s="2">
        <v>0.45</v>
      </c>
      <c r="I128" s="2">
        <v>0.45</v>
      </c>
      <c r="J128" s="2">
        <v>0.45</v>
      </c>
      <c r="K128" s="2">
        <v>0.45</v>
      </c>
      <c r="L128" s="2">
        <v>0.45</v>
      </c>
      <c r="M128" s="2">
        <v>0.45</v>
      </c>
      <c r="N128" s="2">
        <f>AVERAGE(B128:M128)</f>
        <v>0.45083333333333342</v>
      </c>
    </row>
    <row r="129" spans="1:14" x14ac:dyDescent="0.25">
      <c r="A129" s="11">
        <v>2019</v>
      </c>
      <c r="B129" s="2">
        <v>0.45</v>
      </c>
      <c r="C129" s="2">
        <v>0.45</v>
      </c>
      <c r="D129" s="2">
        <v>0.45</v>
      </c>
      <c r="E129" s="2">
        <v>0.45</v>
      </c>
      <c r="F129" s="2">
        <v>0.45</v>
      </c>
      <c r="G129" s="2">
        <v>0.45</v>
      </c>
      <c r="H129" s="2">
        <v>0.45</v>
      </c>
      <c r="I129" s="2">
        <v>0.45</v>
      </c>
      <c r="J129" s="2">
        <v>0.45</v>
      </c>
      <c r="K129" s="2">
        <v>0.45</v>
      </c>
      <c r="L129" s="2">
        <v>0.45</v>
      </c>
      <c r="M129" s="2">
        <v>0.45</v>
      </c>
      <c r="N129" s="2">
        <f>AVERAGE(B129:M129)</f>
        <v>0.45000000000000012</v>
      </c>
    </row>
    <row r="130" spans="1:14" x14ac:dyDescent="0.25">
      <c r="A130" s="11">
        <v>2020</v>
      </c>
      <c r="B130" s="2">
        <v>0.45</v>
      </c>
      <c r="C130" s="2">
        <v>0.45</v>
      </c>
      <c r="D130" s="2">
        <v>0.46</v>
      </c>
      <c r="E130" s="2">
        <v>0.5</v>
      </c>
      <c r="F130" s="2">
        <v>0.5</v>
      </c>
      <c r="G130" s="2">
        <v>0.5</v>
      </c>
      <c r="H130" s="2">
        <v>0.5</v>
      </c>
      <c r="I130" s="2">
        <v>0.5</v>
      </c>
      <c r="J130" s="2">
        <v>0.5</v>
      </c>
      <c r="K130" s="2">
        <v>0.5</v>
      </c>
      <c r="L130" s="2">
        <v>0.5</v>
      </c>
      <c r="M130" s="2">
        <v>0.5</v>
      </c>
      <c r="N130" s="2">
        <f>AVERAGE(B130:M130)</f>
        <v>0.48833333333333334</v>
      </c>
    </row>
    <row r="131" spans="1:14" x14ac:dyDescent="0.25">
      <c r="A131" s="11">
        <v>2021</v>
      </c>
      <c r="B131" s="20">
        <v>0.5</v>
      </c>
      <c r="C131" s="22">
        <v>0.5</v>
      </c>
      <c r="D131" s="24">
        <v>0.5</v>
      </c>
      <c r="E131" s="26">
        <v>0.5</v>
      </c>
      <c r="L131" s="18"/>
      <c r="M131" s="18"/>
      <c r="N131" s="20">
        <f>AVERAGE(B131:M131)</f>
        <v>0.5</v>
      </c>
    </row>
    <row r="132" spans="1:14" x14ac:dyDescent="0.25">
      <c r="L132" s="18"/>
      <c r="M132" s="18"/>
    </row>
    <row r="133" spans="1:14" ht="18" x14ac:dyDescent="0.25">
      <c r="A133" s="27" t="s">
        <v>21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</row>
    <row r="134" spans="1:14" x14ac:dyDescent="0.25">
      <c r="A134" s="11" t="s">
        <v>20</v>
      </c>
      <c r="B134" s="1" t="s">
        <v>7</v>
      </c>
      <c r="C134" s="1" t="s">
        <v>8</v>
      </c>
      <c r="D134" s="1" t="s">
        <v>9</v>
      </c>
      <c r="E134" s="1" t="s">
        <v>10</v>
      </c>
      <c r="F134" s="1" t="s">
        <v>11</v>
      </c>
      <c r="G134" s="1" t="s">
        <v>12</v>
      </c>
      <c r="H134" s="1" t="s">
        <v>13</v>
      </c>
      <c r="I134" s="1" t="s">
        <v>14</v>
      </c>
      <c r="J134" s="1" t="s">
        <v>15</v>
      </c>
      <c r="K134" s="1" t="s">
        <v>16</v>
      </c>
      <c r="L134" s="1" t="s">
        <v>17</v>
      </c>
      <c r="M134" s="1" t="s">
        <v>18</v>
      </c>
      <c r="N134" s="8" t="s">
        <v>19</v>
      </c>
    </row>
    <row r="135" spans="1:14" x14ac:dyDescent="0.25">
      <c r="A135" s="11">
        <v>2001</v>
      </c>
      <c r="B135" s="1">
        <f>206.39/8.75</f>
        <v>23.587428571428571</v>
      </c>
      <c r="C135" s="1">
        <f>206.16/8.75</f>
        <v>23.561142857142858</v>
      </c>
      <c r="D135" s="1">
        <f>206.27/8.75</f>
        <v>23.573714285714289</v>
      </c>
      <c r="E135" s="1">
        <f>206.19/8.75</f>
        <v>23.56457142857143</v>
      </c>
      <c r="F135" s="1">
        <f>206.11/8.75</f>
        <v>23.555428571428575</v>
      </c>
      <c r="G135" s="1">
        <f>206.19/8.75</f>
        <v>23.56457142857143</v>
      </c>
      <c r="H135" s="1">
        <f>206.25/8.75</f>
        <v>23.571428571428573</v>
      </c>
      <c r="I135" s="1">
        <f>198.2/8.75</f>
        <v>22.651428571428571</v>
      </c>
      <c r="J135" s="1">
        <f>197.33/8.75</f>
        <v>22.552000000000003</v>
      </c>
      <c r="K135" s="1">
        <f>195.87/8.75</f>
        <v>22.385142857142856</v>
      </c>
      <c r="L135" s="1">
        <f>194.69/8.75</f>
        <v>22.250285714285713</v>
      </c>
      <c r="M135" s="1">
        <f>192.72/8.75</f>
        <v>22.025142857142857</v>
      </c>
      <c r="N135" s="1">
        <f t="shared" ref="N135:N151" si="5">AVERAGE(B135:M135)</f>
        <v>23.070190476190476</v>
      </c>
    </row>
    <row r="136" spans="1:14" x14ac:dyDescent="0.25">
      <c r="A136" s="11">
        <v>2002</v>
      </c>
      <c r="B136" s="1">
        <f>197.23/8.75</f>
        <v>22.540571428571429</v>
      </c>
      <c r="C136" s="1">
        <f>196.09/8.75</f>
        <v>22.410285714285713</v>
      </c>
      <c r="D136" s="1">
        <f>195.62/8.75</f>
        <v>22.356571428571428</v>
      </c>
      <c r="E136" s="1">
        <f>195.62/8.75</f>
        <v>22.356571428571428</v>
      </c>
      <c r="F136" s="1">
        <f>195.63/8.75</f>
        <v>22.357714285714284</v>
      </c>
      <c r="G136" s="1">
        <f>195.12/8.75</f>
        <v>22.299428571428571</v>
      </c>
      <c r="H136" s="1">
        <f>189.97/8.75</f>
        <v>21.710857142857144</v>
      </c>
      <c r="I136" s="1">
        <f>186.9/8.75</f>
        <v>21.36</v>
      </c>
      <c r="J136" s="1">
        <f>186.23/8.75</f>
        <v>21.283428571428569</v>
      </c>
      <c r="K136" s="1">
        <f>173.66/8.75</f>
        <v>19.846857142857143</v>
      </c>
      <c r="L136" s="1">
        <f>159.23/8.75</f>
        <v>18.197714285714284</v>
      </c>
      <c r="M136" s="1">
        <f>159.08/8.75</f>
        <v>18.180571428571429</v>
      </c>
      <c r="N136" s="1">
        <f t="shared" si="5"/>
        <v>21.241714285714284</v>
      </c>
    </row>
    <row r="137" spans="1:14" x14ac:dyDescent="0.25">
      <c r="A137" s="11">
        <v>2003</v>
      </c>
      <c r="B137" s="1">
        <f>186.19/8.75</f>
        <v>21.278857142857142</v>
      </c>
      <c r="C137" s="1">
        <f>189.91/8.75</f>
        <v>21.704000000000001</v>
      </c>
      <c r="D137" s="1">
        <f>189.7/8.75</f>
        <v>21.68</v>
      </c>
      <c r="E137" s="1">
        <f>195.74/8.75</f>
        <v>22.370285714285714</v>
      </c>
      <c r="F137" s="1">
        <f>211.94/8.75</f>
        <v>24.221714285714285</v>
      </c>
      <c r="G137" s="1">
        <f>203.88/8.75</f>
        <v>23.300571428571427</v>
      </c>
      <c r="H137" s="1">
        <f>212.58/8.75</f>
        <v>24.294857142857143</v>
      </c>
      <c r="I137" s="1">
        <f>213.13/8.75</f>
        <v>24.357714285714284</v>
      </c>
      <c r="J137" s="1">
        <f>206.77/8.75</f>
        <v>23.630857142857145</v>
      </c>
      <c r="K137" s="1">
        <f>205.8/8.75</f>
        <v>23.52</v>
      </c>
      <c r="L137" s="1">
        <f>195.15/8.75</f>
        <v>22.302857142857142</v>
      </c>
      <c r="M137" s="1">
        <f>205.97/8.75</f>
        <v>23.539428571428573</v>
      </c>
      <c r="N137" s="1">
        <f t="shared" si="5"/>
        <v>23.016761904761903</v>
      </c>
    </row>
    <row r="138" spans="1:14" x14ac:dyDescent="0.25">
      <c r="A138" s="11">
        <v>2004</v>
      </c>
      <c r="B138" s="1">
        <v>25.09</v>
      </c>
      <c r="C138" s="1">
        <v>24.97</v>
      </c>
      <c r="D138" s="1">
        <v>25.26</v>
      </c>
      <c r="E138" s="1">
        <v>24.33</v>
      </c>
      <c r="F138" s="1">
        <v>24.25</v>
      </c>
      <c r="G138" s="1">
        <v>25.63</v>
      </c>
      <c r="H138" s="1">
        <v>26.42</v>
      </c>
      <c r="I138" s="1">
        <v>25.1</v>
      </c>
      <c r="J138" s="1">
        <v>25.05</v>
      </c>
      <c r="K138" s="1">
        <v>24.51</v>
      </c>
      <c r="L138" s="1">
        <v>24.31</v>
      </c>
      <c r="M138" s="1">
        <v>24.3</v>
      </c>
      <c r="N138" s="1">
        <f t="shared" si="5"/>
        <v>24.934999999999999</v>
      </c>
    </row>
    <row r="139" spans="1:14" x14ac:dyDescent="0.25">
      <c r="A139" s="11">
        <v>2005</v>
      </c>
      <c r="B139" s="1">
        <v>24.24</v>
      </c>
      <c r="C139" s="1">
        <v>24.79</v>
      </c>
      <c r="D139" s="1">
        <v>25.35</v>
      </c>
      <c r="E139" s="1">
        <v>25.43</v>
      </c>
      <c r="F139" s="1">
        <v>25.3</v>
      </c>
      <c r="G139" s="1">
        <v>25.21</v>
      </c>
      <c r="H139" s="1">
        <v>25.38</v>
      </c>
      <c r="I139" s="1">
        <v>25.28</v>
      </c>
      <c r="J139" s="1">
        <v>25.63</v>
      </c>
      <c r="K139" s="1">
        <v>25.88</v>
      </c>
      <c r="L139" s="1">
        <v>26.56</v>
      </c>
      <c r="M139" s="1">
        <v>27.25</v>
      </c>
      <c r="N139" s="1">
        <f t="shared" si="5"/>
        <v>25.524999999999995</v>
      </c>
    </row>
    <row r="140" spans="1:14" x14ac:dyDescent="0.25">
      <c r="A140" s="11">
        <v>2006</v>
      </c>
      <c r="B140" s="1">
        <v>27.25</v>
      </c>
      <c r="C140" s="1">
        <v>26.3</v>
      </c>
      <c r="D140" s="1">
        <v>26.58</v>
      </c>
      <c r="E140" s="1">
        <v>26.25</v>
      </c>
      <c r="F140" s="1">
        <v>26.25</v>
      </c>
      <c r="G140" s="1">
        <v>26.25</v>
      </c>
      <c r="H140" s="1">
        <v>26.25</v>
      </c>
      <c r="I140" s="1">
        <v>26.6</v>
      </c>
      <c r="J140" s="1">
        <v>27.18</v>
      </c>
      <c r="K140" s="1">
        <v>27.25</v>
      </c>
      <c r="L140" s="1">
        <v>26.96</v>
      </c>
      <c r="M140" s="1">
        <v>25.95</v>
      </c>
      <c r="N140" s="1">
        <f t="shared" si="5"/>
        <v>26.58916666666666</v>
      </c>
    </row>
    <row r="141" spans="1:14" x14ac:dyDescent="0.25">
      <c r="A141" s="11">
        <v>2007</v>
      </c>
      <c r="B141" s="1">
        <v>26.37</v>
      </c>
      <c r="C141" s="1">
        <v>26.31</v>
      </c>
      <c r="D141" s="1">
        <v>26.88</v>
      </c>
      <c r="E141" s="1">
        <v>27.28</v>
      </c>
      <c r="F141" s="1">
        <v>28.34</v>
      </c>
      <c r="G141" s="1">
        <v>28.5</v>
      </c>
      <c r="H141" s="1">
        <v>28.71</v>
      </c>
      <c r="I141" s="1">
        <v>29.93</v>
      </c>
      <c r="J141" s="1">
        <v>34.92</v>
      </c>
      <c r="K141" s="1">
        <v>35.86</v>
      </c>
      <c r="L141" s="1">
        <v>41.07</v>
      </c>
      <c r="M141" s="1">
        <v>42.6</v>
      </c>
      <c r="N141" s="1">
        <f t="shared" si="5"/>
        <v>31.397500000000004</v>
      </c>
    </row>
    <row r="142" spans="1:14" x14ac:dyDescent="0.25">
      <c r="A142" s="11">
        <v>2008</v>
      </c>
      <c r="B142" s="1">
        <v>43</v>
      </c>
      <c r="C142" s="1">
        <v>43.06</v>
      </c>
      <c r="D142" s="1">
        <v>44.24</v>
      </c>
      <c r="E142" s="1">
        <v>47.96</v>
      </c>
      <c r="F142" s="1">
        <v>53.3</v>
      </c>
      <c r="G142" s="1">
        <v>54.45</v>
      </c>
      <c r="H142" s="1">
        <v>56.4</v>
      </c>
      <c r="I142" s="1">
        <v>57.94</v>
      </c>
      <c r="J142" s="1">
        <v>57.78</v>
      </c>
      <c r="K142" s="1">
        <v>57.73</v>
      </c>
      <c r="L142" s="1">
        <v>57.62</v>
      </c>
      <c r="M142" s="1">
        <v>56.42</v>
      </c>
      <c r="N142" s="1">
        <f t="shared" si="5"/>
        <v>52.491666666666667</v>
      </c>
    </row>
    <row r="143" spans="1:14" x14ac:dyDescent="0.25">
      <c r="A143" s="11">
        <v>2009</v>
      </c>
      <c r="B143" s="1">
        <v>55.93</v>
      </c>
      <c r="C143" s="1">
        <v>54.39</v>
      </c>
      <c r="D143" s="1">
        <v>53.45</v>
      </c>
      <c r="E143" s="1">
        <v>52.47</v>
      </c>
      <c r="F143" s="1">
        <v>51.96</v>
      </c>
      <c r="G143" s="1">
        <v>51.81</v>
      </c>
      <c r="H143" s="1">
        <v>51.72</v>
      </c>
      <c r="I143" s="1">
        <v>51.78</v>
      </c>
      <c r="J143" s="1">
        <v>51.7</v>
      </c>
      <c r="K143" s="1">
        <v>49.34</v>
      </c>
      <c r="L143" s="1">
        <v>40.74</v>
      </c>
      <c r="M143" s="1">
        <v>40.36</v>
      </c>
      <c r="N143" s="1">
        <f t="shared" si="5"/>
        <v>50.470833333333331</v>
      </c>
    </row>
    <row r="144" spans="1:14" x14ac:dyDescent="0.25">
      <c r="A144" s="11">
        <v>2010</v>
      </c>
      <c r="B144" s="1">
        <v>39.659999999999997</v>
      </c>
      <c r="C144" s="1">
        <v>40.32</v>
      </c>
      <c r="D144" s="1">
        <v>40.39</v>
      </c>
      <c r="E144" s="1">
        <v>40.04</v>
      </c>
      <c r="F144" s="1">
        <v>40.33</v>
      </c>
      <c r="G144" s="1">
        <v>39.659999999999997</v>
      </c>
      <c r="H144" s="1">
        <v>36.67</v>
      </c>
      <c r="I144" s="1">
        <v>35.15</v>
      </c>
      <c r="J144" s="1">
        <v>35.11</v>
      </c>
      <c r="K144" s="1">
        <v>35.479999999999997</v>
      </c>
      <c r="L144" s="1">
        <v>35.71</v>
      </c>
      <c r="M144" s="1">
        <v>36</v>
      </c>
      <c r="N144" s="1">
        <f t="shared" si="5"/>
        <v>37.876666666666665</v>
      </c>
    </row>
    <row r="145" spans="1:18" x14ac:dyDescent="0.25">
      <c r="A145" s="11">
        <v>2011</v>
      </c>
      <c r="B145" s="1">
        <v>34.51</v>
      </c>
      <c r="C145" s="1">
        <v>34.5</v>
      </c>
      <c r="D145" s="1">
        <v>35.11</v>
      </c>
      <c r="E145" s="1">
        <v>35.44</v>
      </c>
      <c r="F145" s="1">
        <v>35.979999999999997</v>
      </c>
      <c r="G145" s="1">
        <v>36.99</v>
      </c>
      <c r="H145" s="1">
        <v>38.01</v>
      </c>
      <c r="I145" s="1">
        <v>37.94</v>
      </c>
      <c r="J145" s="1">
        <v>38.08</v>
      </c>
      <c r="K145" s="1">
        <v>38.71</v>
      </c>
      <c r="L145" s="1">
        <v>39.549999999999997</v>
      </c>
      <c r="M145" s="1">
        <v>39.35</v>
      </c>
      <c r="N145" s="1">
        <f t="shared" si="5"/>
        <v>37.014166666666668</v>
      </c>
    </row>
    <row r="146" spans="1:18" x14ac:dyDescent="0.25">
      <c r="A146" s="11">
        <v>2012</v>
      </c>
      <c r="B146" s="1">
        <v>40.35</v>
      </c>
      <c r="C146" s="1">
        <v>41.7</v>
      </c>
      <c r="D146" s="1">
        <v>40.94</v>
      </c>
      <c r="E146" s="1">
        <v>40.369999999999997</v>
      </c>
      <c r="F146" s="1">
        <v>38.590000000000003</v>
      </c>
      <c r="G146" s="1">
        <v>37.86</v>
      </c>
      <c r="H146" s="1">
        <v>39.869999999999997</v>
      </c>
      <c r="I146" s="1">
        <v>40.32</v>
      </c>
      <c r="J146" s="1">
        <v>40.39</v>
      </c>
      <c r="K146" s="1">
        <v>39.5</v>
      </c>
      <c r="L146" s="1">
        <v>38.57</v>
      </c>
      <c r="M146" s="1">
        <v>39.299999999999997</v>
      </c>
      <c r="N146" s="1">
        <f t="shared" si="5"/>
        <v>39.813333333333333</v>
      </c>
    </row>
    <row r="147" spans="1:18" x14ac:dyDescent="0.25">
      <c r="A147" s="11">
        <v>2013</v>
      </c>
      <c r="B147" s="1">
        <v>38.21</v>
      </c>
      <c r="C147" s="1">
        <v>37.479999999999997</v>
      </c>
      <c r="D147" s="1">
        <v>37.450000000000003</v>
      </c>
      <c r="E147" s="1">
        <v>37.39</v>
      </c>
      <c r="F147" s="1">
        <v>37</v>
      </c>
      <c r="G147" s="1">
        <v>36.61</v>
      </c>
      <c r="H147" s="1">
        <v>37.11</v>
      </c>
      <c r="I147" s="1">
        <v>38.950000000000003</v>
      </c>
      <c r="J147" s="1">
        <v>39.33</v>
      </c>
      <c r="K147" s="1">
        <v>39.39</v>
      </c>
      <c r="L147" s="1">
        <v>39.159999999999997</v>
      </c>
      <c r="M147" s="1">
        <v>38.479999999999997</v>
      </c>
      <c r="N147" s="1">
        <f t="shared" si="5"/>
        <v>38.04666666666666</v>
      </c>
    </row>
    <row r="148" spans="1:18" x14ac:dyDescent="0.25">
      <c r="A148" s="11">
        <v>2014</v>
      </c>
      <c r="B148" s="1">
        <v>37.299999999999997</v>
      </c>
      <c r="C148" s="1">
        <v>37.549999999999997</v>
      </c>
      <c r="D148" s="1">
        <v>38.56</v>
      </c>
      <c r="E148" s="1">
        <v>40.4</v>
      </c>
      <c r="F148" s="1">
        <v>42.33</v>
      </c>
      <c r="G148" s="1">
        <v>43.5</v>
      </c>
      <c r="H148" s="1">
        <v>43.33</v>
      </c>
      <c r="I148" s="1">
        <v>41.75</v>
      </c>
      <c r="J148" s="1">
        <v>41.58</v>
      </c>
      <c r="K148" s="1">
        <v>41.29</v>
      </c>
      <c r="L148" s="1">
        <v>39.47</v>
      </c>
      <c r="M148" s="1">
        <v>38.19</v>
      </c>
      <c r="N148" s="1">
        <f t="shared" si="5"/>
        <v>40.437499999999993</v>
      </c>
    </row>
    <row r="149" spans="1:18" x14ac:dyDescent="0.25">
      <c r="A149" s="11">
        <v>2015</v>
      </c>
      <c r="B149" s="1">
        <v>38.33</v>
      </c>
      <c r="C149" s="1">
        <v>38.33</v>
      </c>
      <c r="D149" s="1">
        <v>38.700000000000003</v>
      </c>
      <c r="E149" s="1">
        <v>38.68</v>
      </c>
      <c r="F149" s="1">
        <v>39</v>
      </c>
      <c r="G149" s="1">
        <v>38.39</v>
      </c>
      <c r="H149" s="1">
        <v>38.450000000000003</v>
      </c>
      <c r="I149" s="1">
        <v>37.89</v>
      </c>
      <c r="J149" s="1">
        <v>37.64</v>
      </c>
      <c r="K149" s="1">
        <v>37.85</v>
      </c>
      <c r="L149" s="1">
        <v>37.92</v>
      </c>
      <c r="M149" s="1">
        <v>37.99</v>
      </c>
      <c r="N149" s="1">
        <f t="shared" si="5"/>
        <v>38.264166666666668</v>
      </c>
    </row>
    <row r="150" spans="1:18" x14ac:dyDescent="0.25">
      <c r="A150" s="11">
        <v>2016</v>
      </c>
      <c r="B150" s="1">
        <v>37</v>
      </c>
      <c r="C150" s="1">
        <v>36.85</v>
      </c>
      <c r="D150" s="1">
        <v>37.06</v>
      </c>
      <c r="E150" s="1">
        <v>37.18</v>
      </c>
      <c r="F150" s="1">
        <v>38.44</v>
      </c>
      <c r="G150" s="1">
        <v>37.21</v>
      </c>
      <c r="H150" s="1">
        <v>37.01</v>
      </c>
      <c r="I150" s="1">
        <v>36.61</v>
      </c>
      <c r="J150" s="1">
        <v>35.94</v>
      </c>
      <c r="K150" s="1">
        <v>36.479999999999997</v>
      </c>
      <c r="L150" s="1">
        <v>36.22</v>
      </c>
      <c r="M150" s="1">
        <v>35.65</v>
      </c>
      <c r="N150" s="1">
        <f t="shared" si="5"/>
        <v>36.804166666666667</v>
      </c>
    </row>
    <row r="151" spans="1:18" x14ac:dyDescent="0.25">
      <c r="A151" s="13">
        <v>2017</v>
      </c>
      <c r="B151" s="2">
        <v>35.65</v>
      </c>
      <c r="C151" s="2">
        <v>35.61</v>
      </c>
      <c r="D151" s="2">
        <v>35.46</v>
      </c>
      <c r="E151" s="2">
        <v>35.67</v>
      </c>
      <c r="F151" s="2">
        <v>35.4</v>
      </c>
      <c r="G151" s="2">
        <v>35.17</v>
      </c>
      <c r="H151" s="2">
        <v>35.42</v>
      </c>
      <c r="I151" s="2">
        <v>35.409999999999997</v>
      </c>
      <c r="J151" s="2">
        <v>35.369999999999997</v>
      </c>
      <c r="K151" s="2">
        <v>35.380000000000003</v>
      </c>
      <c r="L151" s="2">
        <v>35.39</v>
      </c>
      <c r="M151" s="2">
        <v>35.380000000000003</v>
      </c>
      <c r="N151" s="2">
        <f t="shared" si="5"/>
        <v>35.442499999999995</v>
      </c>
    </row>
    <row r="152" spans="1:18" x14ac:dyDescent="0.25">
      <c r="A152" s="13">
        <v>2018</v>
      </c>
      <c r="B152" s="2">
        <v>35.46</v>
      </c>
      <c r="C152" s="2">
        <v>35.4</v>
      </c>
      <c r="D152" s="2">
        <v>37.590000000000003</v>
      </c>
      <c r="E152" s="2">
        <v>35.92</v>
      </c>
      <c r="F152" s="2">
        <v>36.130000000000003</v>
      </c>
      <c r="G152" s="2">
        <v>36.119999999999997</v>
      </c>
      <c r="H152" s="2">
        <v>36.130000000000003</v>
      </c>
      <c r="I152" s="2">
        <v>36.14</v>
      </c>
      <c r="J152" s="2">
        <v>36.1</v>
      </c>
      <c r="K152" s="2">
        <v>36.1</v>
      </c>
      <c r="L152" s="2">
        <v>36.090000000000003</v>
      </c>
      <c r="M152" s="2">
        <v>36.1</v>
      </c>
      <c r="N152" s="2">
        <f>AVERAGE(B152:M152)</f>
        <v>36.106666666666676</v>
      </c>
    </row>
    <row r="153" spans="1:18" x14ac:dyDescent="0.25">
      <c r="A153" s="13">
        <v>2019</v>
      </c>
      <c r="B153" s="2">
        <v>35.799999999999997</v>
      </c>
      <c r="C153" s="2">
        <v>36.06</v>
      </c>
      <c r="D153" s="2">
        <v>36.06</v>
      </c>
      <c r="E153" s="2">
        <v>36.07</v>
      </c>
      <c r="F153" s="2">
        <v>36.08</v>
      </c>
      <c r="G153" s="2">
        <v>36.090000000000003</v>
      </c>
      <c r="H153" s="2">
        <v>36.04</v>
      </c>
      <c r="I153" s="2">
        <v>36.07</v>
      </c>
      <c r="J153" s="2">
        <v>36.08</v>
      </c>
      <c r="K153" s="2">
        <v>36</v>
      </c>
      <c r="L153" s="2">
        <v>36</v>
      </c>
      <c r="M153" s="2">
        <v>35.86</v>
      </c>
      <c r="N153" s="2">
        <f>AVERAGE(B153:M153)</f>
        <v>36.017499999999998</v>
      </c>
    </row>
    <row r="154" spans="1:18" x14ac:dyDescent="0.25">
      <c r="A154" s="13">
        <v>2020</v>
      </c>
      <c r="B154" s="2">
        <v>35.83</v>
      </c>
      <c r="C154" s="2">
        <v>35.880000000000003</v>
      </c>
      <c r="D154" s="2">
        <v>38.619999999999997</v>
      </c>
      <c r="E154" s="2">
        <v>39.28</v>
      </c>
      <c r="F154" s="2">
        <v>40.43</v>
      </c>
      <c r="G154" s="2">
        <v>44.02</v>
      </c>
      <c r="H154" s="2">
        <v>44.03</v>
      </c>
      <c r="I154" s="2">
        <v>43.757575757575758</v>
      </c>
      <c r="J154" s="2">
        <v>41.956521739130437</v>
      </c>
      <c r="K154" s="2">
        <v>40</v>
      </c>
      <c r="L154" s="2">
        <v>39.83</v>
      </c>
      <c r="M154" s="2">
        <v>38.729999999999997</v>
      </c>
      <c r="N154" s="2">
        <f>AVERAGE(B154:M154)</f>
        <v>40.197008124725521</v>
      </c>
    </row>
    <row r="155" spans="1:18" x14ac:dyDescent="0.25">
      <c r="A155" s="13">
        <v>2021</v>
      </c>
      <c r="B155" s="18">
        <v>38.75</v>
      </c>
      <c r="C155" s="18">
        <v>38.76</v>
      </c>
      <c r="D155" s="18">
        <v>38.75</v>
      </c>
      <c r="E155" s="18">
        <v>38.79</v>
      </c>
      <c r="F155" s="18"/>
      <c r="G155" s="18"/>
      <c r="H155" s="18"/>
      <c r="I155" s="18"/>
      <c r="J155" s="18"/>
      <c r="K155" s="18"/>
      <c r="L155" s="18"/>
      <c r="M155" s="18"/>
      <c r="N155" s="18">
        <f>AVERAGE(B155:M155)</f>
        <v>38.762499999999996</v>
      </c>
    </row>
    <row r="156" spans="1:18" x14ac:dyDescent="0.25">
      <c r="A156" s="14" t="s">
        <v>33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17"/>
      <c r="M156" s="17"/>
    </row>
    <row r="159" spans="1:18" ht="20.25" x14ac:dyDescent="0.3">
      <c r="A159" s="28" t="s">
        <v>26</v>
      </c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6"/>
      <c r="P159" s="6"/>
      <c r="Q159" s="6"/>
      <c r="R159" s="6"/>
    </row>
    <row r="160" spans="1:18" ht="18" x14ac:dyDescent="0.25">
      <c r="A160" s="27" t="s">
        <v>27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7"/>
      <c r="P160" s="7"/>
      <c r="Q160" s="7"/>
      <c r="R160" s="7"/>
    </row>
    <row r="161" spans="1:14" x14ac:dyDescent="0.25">
      <c r="A161" s="11" t="s">
        <v>20</v>
      </c>
      <c r="B161" s="1" t="s">
        <v>7</v>
      </c>
      <c r="C161" s="1" t="s">
        <v>8</v>
      </c>
      <c r="D161" s="1" t="s">
        <v>9</v>
      </c>
      <c r="E161" s="1" t="s">
        <v>10</v>
      </c>
      <c r="F161" s="1" t="s">
        <v>11</v>
      </c>
      <c r="G161" s="1" t="s">
        <v>12</v>
      </c>
      <c r="H161" s="1" t="s">
        <v>13</v>
      </c>
      <c r="I161" s="1" t="s">
        <v>14</v>
      </c>
      <c r="J161" s="1" t="s">
        <v>15</v>
      </c>
      <c r="K161" s="1" t="s">
        <v>16</v>
      </c>
      <c r="L161" s="1" t="s">
        <v>17</v>
      </c>
      <c r="M161" s="1" t="s">
        <v>18</v>
      </c>
      <c r="N161" s="8" t="s">
        <v>19</v>
      </c>
    </row>
    <row r="162" spans="1:14" x14ac:dyDescent="0.25">
      <c r="A162" s="11">
        <v>2001</v>
      </c>
      <c r="B162" s="1">
        <v>0.432</v>
      </c>
      <c r="C162" s="1">
        <v>0.432</v>
      </c>
      <c r="D162" s="1">
        <v>0.41600000000000004</v>
      </c>
      <c r="E162" s="1">
        <v>0.38400000000000001</v>
      </c>
      <c r="F162" s="1">
        <v>0.38171428571428567</v>
      </c>
      <c r="G162" s="1">
        <v>0.41600000000000004</v>
      </c>
      <c r="H162" s="1">
        <v>0.42971428571428572</v>
      </c>
      <c r="I162" s="1">
        <v>0.44342857142857139</v>
      </c>
      <c r="J162" s="1">
        <v>0.45371428571428574</v>
      </c>
      <c r="K162" s="1">
        <v>0.5417142857142857</v>
      </c>
      <c r="L162" s="1">
        <v>0.53942857142857137</v>
      </c>
      <c r="M162" s="1">
        <v>0.42742857142857144</v>
      </c>
      <c r="N162" s="1">
        <f t="shared" ref="N162:N178" si="6">AVERAGE(B162:M162)</f>
        <v>0.44142857142857134</v>
      </c>
    </row>
    <row r="163" spans="1:14" x14ac:dyDescent="0.25">
      <c r="A163" s="11">
        <v>2002</v>
      </c>
      <c r="B163" s="1">
        <v>0.44</v>
      </c>
      <c r="C163" s="1">
        <v>0.44342857142857139</v>
      </c>
      <c r="D163" s="1">
        <v>0.44571428571428573</v>
      </c>
      <c r="E163" s="1">
        <v>0.4468571428571429</v>
      </c>
      <c r="F163" s="1">
        <v>0.4468571428571429</v>
      </c>
      <c r="G163" s="1">
        <v>0.4468571428571429</v>
      </c>
      <c r="H163" s="1">
        <v>0.43542857142857144</v>
      </c>
      <c r="I163" s="1">
        <v>0.44342857142857139</v>
      </c>
      <c r="J163" s="1">
        <v>0.43542857142857144</v>
      </c>
      <c r="K163" s="1">
        <v>0.44457142857142856</v>
      </c>
      <c r="L163" s="1">
        <v>0.41485714285714287</v>
      </c>
      <c r="M163" s="1">
        <v>0.40457142857142858</v>
      </c>
      <c r="N163" s="1">
        <f t="shared" si="6"/>
        <v>0.43733333333333335</v>
      </c>
    </row>
    <row r="164" spans="1:14" x14ac:dyDescent="0.25">
      <c r="A164" s="11">
        <v>2003</v>
      </c>
      <c r="B164" s="1">
        <v>0.38171428571428567</v>
      </c>
      <c r="C164" s="1">
        <v>0.36114285714285715</v>
      </c>
      <c r="D164" s="1">
        <v>0.36571428571428571</v>
      </c>
      <c r="E164" s="1">
        <v>0.40799999999999997</v>
      </c>
      <c r="F164" s="1">
        <v>0.37714285714285711</v>
      </c>
      <c r="G164" s="1">
        <v>0.37942857142857139</v>
      </c>
      <c r="H164" s="1">
        <v>0.38057142857142856</v>
      </c>
      <c r="I164" s="1">
        <v>0.38742857142857146</v>
      </c>
      <c r="J164" s="1">
        <v>0.38057142857142856</v>
      </c>
      <c r="K164" s="1">
        <v>0.39085714285714285</v>
      </c>
      <c r="L164" s="1">
        <v>0.38285714285714284</v>
      </c>
      <c r="M164" s="1">
        <v>0.36571428571428571</v>
      </c>
      <c r="N164" s="1">
        <f t="shared" si="6"/>
        <v>0.3800952380952381</v>
      </c>
    </row>
    <row r="165" spans="1:14" x14ac:dyDescent="0.25">
      <c r="A165" s="11">
        <v>2004</v>
      </c>
      <c r="B165" s="1">
        <v>0.36</v>
      </c>
      <c r="C165" s="1">
        <v>0.36</v>
      </c>
      <c r="D165" s="1">
        <v>0.34</v>
      </c>
      <c r="E165" s="1">
        <v>0.39</v>
      </c>
      <c r="F165" s="1">
        <v>0.44</v>
      </c>
      <c r="G165" s="1">
        <v>0.45</v>
      </c>
      <c r="H165" s="1">
        <v>0.5</v>
      </c>
      <c r="I165" s="1">
        <v>0.5</v>
      </c>
      <c r="J165" s="1">
        <v>0.59</v>
      </c>
      <c r="K165" s="1">
        <v>0.71</v>
      </c>
      <c r="L165" s="1">
        <v>0.64</v>
      </c>
      <c r="M165" s="1">
        <v>0.61</v>
      </c>
      <c r="N165" s="1">
        <f t="shared" si="6"/>
        <v>0.4908333333333334</v>
      </c>
    </row>
    <row r="166" spans="1:14" x14ac:dyDescent="0.25">
      <c r="A166" s="11">
        <v>2005</v>
      </c>
      <c r="B166" s="1">
        <v>0.61</v>
      </c>
      <c r="C166" s="1">
        <v>0.54</v>
      </c>
      <c r="D166" s="1">
        <v>0.53</v>
      </c>
      <c r="E166" s="1">
        <v>0.6</v>
      </c>
      <c r="F166" s="1">
        <v>0.57999999999999996</v>
      </c>
      <c r="G166" s="1">
        <v>0.59</v>
      </c>
      <c r="H166" s="1">
        <v>0.59</v>
      </c>
      <c r="I166" s="1">
        <v>0.56000000000000005</v>
      </c>
      <c r="J166" s="1">
        <v>0.56000000000000005</v>
      </c>
      <c r="K166" s="1">
        <v>0.6</v>
      </c>
      <c r="L166" s="1">
        <v>0.57999999999999996</v>
      </c>
      <c r="M166" s="1">
        <v>0.54</v>
      </c>
      <c r="N166" s="1">
        <f t="shared" si="6"/>
        <v>0.57333333333333336</v>
      </c>
    </row>
    <row r="167" spans="1:14" x14ac:dyDescent="0.25">
      <c r="A167" s="11">
        <v>2006</v>
      </c>
      <c r="B167" s="1">
        <v>0.55000000000000004</v>
      </c>
      <c r="C167" s="1">
        <v>0.56000000000000005</v>
      </c>
      <c r="D167" s="1">
        <v>0.56999999999999995</v>
      </c>
      <c r="E167" s="1">
        <v>0.56000000000000005</v>
      </c>
      <c r="F167" s="1">
        <v>0.56000000000000005</v>
      </c>
      <c r="G167" s="1">
        <v>0.56000000000000005</v>
      </c>
      <c r="H167" s="1">
        <v>0.56999999999999995</v>
      </c>
      <c r="I167" s="1">
        <v>0.56999999999999995</v>
      </c>
      <c r="J167" s="1">
        <v>0.56999999999999995</v>
      </c>
      <c r="K167" s="1">
        <v>0.56999999999999995</v>
      </c>
      <c r="L167" s="1">
        <v>0.54</v>
      </c>
      <c r="M167" s="1">
        <v>0.53</v>
      </c>
      <c r="N167" s="1">
        <f t="shared" si="6"/>
        <v>0.5591666666666667</v>
      </c>
    </row>
    <row r="168" spans="1:14" x14ac:dyDescent="0.25">
      <c r="A168" s="11">
        <v>2007</v>
      </c>
      <c r="B168" s="1">
        <v>0.54</v>
      </c>
      <c r="C168" s="1">
        <v>0.54</v>
      </c>
      <c r="D168" s="1">
        <v>0.53</v>
      </c>
      <c r="E168" s="1">
        <v>0.54</v>
      </c>
      <c r="F168" s="1">
        <v>0.54</v>
      </c>
      <c r="G168" s="1">
        <v>0.57999999999999996</v>
      </c>
      <c r="H168" s="1">
        <v>0.6</v>
      </c>
      <c r="I168" s="1">
        <v>0.63</v>
      </c>
      <c r="J168" s="1">
        <v>0.68</v>
      </c>
      <c r="K168" s="1">
        <v>0.85</v>
      </c>
      <c r="L168" s="1">
        <v>1.04</v>
      </c>
      <c r="M168" s="1">
        <v>0.82</v>
      </c>
      <c r="N168" s="1">
        <f t="shared" si="6"/>
        <v>0.65750000000000008</v>
      </c>
    </row>
    <row r="169" spans="1:14" x14ac:dyDescent="0.25">
      <c r="A169" s="11">
        <v>2008</v>
      </c>
      <c r="B169" s="1">
        <v>0.83</v>
      </c>
      <c r="C169" s="1">
        <v>0.85</v>
      </c>
      <c r="D169" s="1">
        <v>0.84</v>
      </c>
      <c r="E169" s="1">
        <v>0.87</v>
      </c>
      <c r="F169" s="1">
        <v>0.9</v>
      </c>
      <c r="G169" s="1">
        <v>1.0900000000000001</v>
      </c>
      <c r="H169" s="1">
        <v>1.1100000000000001</v>
      </c>
      <c r="I169" s="1">
        <v>1.01</v>
      </c>
      <c r="J169" s="1">
        <v>0.9</v>
      </c>
      <c r="K169" s="1">
        <v>0.85</v>
      </c>
      <c r="L169" s="1">
        <v>0.8</v>
      </c>
      <c r="M169" s="1">
        <v>0.74</v>
      </c>
      <c r="N169" s="1">
        <f t="shared" si="6"/>
        <v>0.89916666666666678</v>
      </c>
    </row>
    <row r="170" spans="1:14" x14ac:dyDescent="0.25">
      <c r="A170" s="11">
        <v>2009</v>
      </c>
      <c r="B170" s="1">
        <v>0.74</v>
      </c>
      <c r="C170" s="1">
        <v>0.73</v>
      </c>
      <c r="D170" s="1">
        <v>0.66</v>
      </c>
      <c r="E170" s="1">
        <v>0.66</v>
      </c>
      <c r="F170" s="1">
        <v>0.66</v>
      </c>
      <c r="G170" s="1">
        <v>0.63</v>
      </c>
      <c r="H170" s="1">
        <v>0.59</v>
      </c>
      <c r="I170" s="1">
        <v>0.55000000000000004</v>
      </c>
      <c r="J170" s="1">
        <v>0.53</v>
      </c>
      <c r="K170" s="1">
        <v>0.53</v>
      </c>
      <c r="L170" s="1">
        <v>0.53</v>
      </c>
      <c r="M170" s="1">
        <v>0.53</v>
      </c>
      <c r="N170" s="1">
        <f t="shared" si="6"/>
        <v>0.61166666666666669</v>
      </c>
    </row>
    <row r="171" spans="1:14" x14ac:dyDescent="0.25">
      <c r="A171" s="11">
        <v>2010</v>
      </c>
      <c r="B171" s="1">
        <v>0.53</v>
      </c>
      <c r="C171" s="1">
        <v>0.53</v>
      </c>
      <c r="D171" s="1">
        <v>0.53</v>
      </c>
      <c r="E171" s="1">
        <v>0.54</v>
      </c>
      <c r="F171" s="1">
        <v>0.54</v>
      </c>
      <c r="G171" s="1">
        <v>0.56999999999999995</v>
      </c>
      <c r="H171" s="1">
        <v>0.59</v>
      </c>
      <c r="I171" s="1">
        <v>0.7</v>
      </c>
      <c r="J171" s="1">
        <v>0.96</v>
      </c>
      <c r="K171" s="1">
        <v>1.2</v>
      </c>
      <c r="L171" s="1">
        <v>1.27</v>
      </c>
      <c r="M171" s="1">
        <v>1.18</v>
      </c>
      <c r="N171" s="1">
        <f t="shared" si="6"/>
        <v>0.7616666666666666</v>
      </c>
    </row>
    <row r="172" spans="1:14" x14ac:dyDescent="0.25">
      <c r="A172" s="11">
        <v>2011</v>
      </c>
      <c r="B172" s="1">
        <v>1.25</v>
      </c>
      <c r="C172" s="1">
        <v>1.22</v>
      </c>
      <c r="D172" s="1">
        <v>1.1200000000000001</v>
      </c>
      <c r="E172" s="1">
        <v>1.1399999999999999</v>
      </c>
      <c r="F172" s="1">
        <v>1.26</v>
      </c>
      <c r="G172" s="1">
        <v>1.28</v>
      </c>
      <c r="H172" s="1">
        <v>1.27</v>
      </c>
      <c r="I172" s="1">
        <v>1.1399999999999999</v>
      </c>
      <c r="J172" s="1">
        <v>0.94</v>
      </c>
      <c r="K172" s="1">
        <v>0.9</v>
      </c>
      <c r="L172" s="1">
        <v>0.86</v>
      </c>
      <c r="M172" s="1">
        <v>0.82</v>
      </c>
      <c r="N172" s="1">
        <f t="shared" si="6"/>
        <v>1.0999999999999999</v>
      </c>
    </row>
    <row r="173" spans="1:14" x14ac:dyDescent="0.25">
      <c r="A173" s="11">
        <v>2012</v>
      </c>
      <c r="B173" s="1">
        <v>0.77</v>
      </c>
      <c r="C173" s="1">
        <v>0.77</v>
      </c>
      <c r="D173" s="1">
        <v>0.76</v>
      </c>
      <c r="E173" s="1">
        <v>0.78</v>
      </c>
      <c r="F173" s="1">
        <v>0.82</v>
      </c>
      <c r="G173" s="1">
        <v>0.77</v>
      </c>
      <c r="H173" s="1">
        <v>0.74</v>
      </c>
      <c r="I173" s="1">
        <v>0.72</v>
      </c>
      <c r="J173" s="1">
        <v>0.72</v>
      </c>
      <c r="K173" s="1">
        <v>0.7</v>
      </c>
      <c r="L173" s="1">
        <v>0.62</v>
      </c>
      <c r="M173" s="1">
        <v>0.61</v>
      </c>
      <c r="N173" s="1">
        <f t="shared" si="6"/>
        <v>0.73166666666666658</v>
      </c>
    </row>
    <row r="174" spans="1:14" x14ac:dyDescent="0.25">
      <c r="A174" s="11">
        <v>2013</v>
      </c>
      <c r="B174" s="1">
        <v>0.53</v>
      </c>
      <c r="C174" s="1">
        <v>0.53</v>
      </c>
      <c r="D174" s="1">
        <v>0.54</v>
      </c>
      <c r="E174" s="1">
        <v>0.54</v>
      </c>
      <c r="F174" s="1">
        <v>0.52</v>
      </c>
      <c r="G174" s="1">
        <v>0.48</v>
      </c>
      <c r="H174" s="1">
        <v>0.47</v>
      </c>
      <c r="I174" s="1">
        <v>0.47</v>
      </c>
      <c r="J174" s="1">
        <v>0.47</v>
      </c>
      <c r="K174" s="1">
        <v>0.52</v>
      </c>
      <c r="L174" s="1">
        <v>0.52</v>
      </c>
      <c r="M174" s="1">
        <v>0.5</v>
      </c>
      <c r="N174" s="1">
        <f t="shared" si="6"/>
        <v>0.50749999999999995</v>
      </c>
    </row>
    <row r="175" spans="1:14" x14ac:dyDescent="0.25">
      <c r="A175" s="11">
        <v>2014</v>
      </c>
      <c r="B175" s="1">
        <v>0.51</v>
      </c>
      <c r="C175" s="1">
        <v>0.56000000000000005</v>
      </c>
      <c r="D175" s="1">
        <v>0.59</v>
      </c>
      <c r="E175" s="1">
        <v>0.7</v>
      </c>
      <c r="F175" s="1">
        <v>0.81</v>
      </c>
      <c r="G175" s="1">
        <v>0.84</v>
      </c>
      <c r="H175" s="1">
        <v>1.2</v>
      </c>
      <c r="I175" s="1">
        <v>1.38</v>
      </c>
      <c r="J175" s="1">
        <v>1.36</v>
      </c>
      <c r="K175" s="1">
        <v>1.44</v>
      </c>
      <c r="L175" s="1">
        <v>1.17</v>
      </c>
      <c r="M175" s="1">
        <v>0.82</v>
      </c>
      <c r="N175" s="1">
        <f t="shared" si="6"/>
        <v>0.94833333333333336</v>
      </c>
    </row>
    <row r="176" spans="1:14" x14ac:dyDescent="0.25">
      <c r="A176" s="11">
        <v>2015</v>
      </c>
      <c r="B176" s="1">
        <v>0.95</v>
      </c>
      <c r="C176" s="1">
        <v>0.88</v>
      </c>
      <c r="D176" s="1">
        <v>0.9</v>
      </c>
      <c r="E176" s="1">
        <v>0.86</v>
      </c>
      <c r="F176" s="1">
        <v>0.87</v>
      </c>
      <c r="G176" s="1">
        <v>0.93</v>
      </c>
      <c r="H176" s="1">
        <v>1</v>
      </c>
      <c r="I176" s="1">
        <v>0.97</v>
      </c>
      <c r="J176" s="1">
        <v>0.9</v>
      </c>
      <c r="K176" s="1">
        <v>0.83</v>
      </c>
      <c r="L176" s="1">
        <v>0.75</v>
      </c>
      <c r="M176" s="1">
        <v>0.72</v>
      </c>
      <c r="N176" s="1">
        <f t="shared" si="6"/>
        <v>0.88</v>
      </c>
    </row>
    <row r="177" spans="1:18" x14ac:dyDescent="0.25">
      <c r="A177" s="11">
        <v>2016</v>
      </c>
      <c r="B177" s="1">
        <v>0.72</v>
      </c>
      <c r="C177" s="1">
        <v>0.73</v>
      </c>
      <c r="D177" s="1">
        <v>0.74</v>
      </c>
      <c r="E177" s="1">
        <v>0.73</v>
      </c>
      <c r="F177" s="1">
        <v>0.73</v>
      </c>
      <c r="G177" s="1">
        <v>0.73</v>
      </c>
      <c r="H177" s="1">
        <v>0.74</v>
      </c>
      <c r="I177" s="1">
        <v>0.74</v>
      </c>
      <c r="J177" s="1">
        <v>0.73</v>
      </c>
      <c r="K177" s="1">
        <v>0.66</v>
      </c>
      <c r="L177" s="1">
        <v>0.69</v>
      </c>
      <c r="M177" s="1">
        <v>0.67</v>
      </c>
      <c r="N177" s="1">
        <f t="shared" si="6"/>
        <v>0.71749999999999992</v>
      </c>
    </row>
    <row r="178" spans="1:18" x14ac:dyDescent="0.25">
      <c r="A178" s="11">
        <v>2017</v>
      </c>
      <c r="B178" s="1">
        <v>0.68</v>
      </c>
      <c r="C178" s="1">
        <v>0.69</v>
      </c>
      <c r="D178" s="1">
        <v>0.71</v>
      </c>
      <c r="E178" s="1">
        <v>0.72</v>
      </c>
      <c r="F178" s="1">
        <v>0.72</v>
      </c>
      <c r="G178" s="1">
        <v>0.72</v>
      </c>
      <c r="H178" s="1">
        <v>0.71</v>
      </c>
      <c r="I178" s="1">
        <v>0.68</v>
      </c>
      <c r="J178" s="1">
        <v>0.69</v>
      </c>
      <c r="K178" s="1">
        <v>0.7</v>
      </c>
      <c r="L178" s="1">
        <v>0.69</v>
      </c>
      <c r="M178" s="1">
        <v>0.67</v>
      </c>
      <c r="N178" s="1">
        <f t="shared" si="6"/>
        <v>0.69833333333333325</v>
      </c>
    </row>
    <row r="179" spans="1:18" x14ac:dyDescent="0.25">
      <c r="A179" s="11">
        <v>2018</v>
      </c>
      <c r="B179" s="2">
        <v>0.68</v>
      </c>
      <c r="C179" s="2">
        <v>0.69</v>
      </c>
      <c r="D179" s="2">
        <v>0.71</v>
      </c>
      <c r="E179" s="2">
        <v>0.71</v>
      </c>
      <c r="F179" s="2">
        <v>0.7</v>
      </c>
      <c r="G179" s="2">
        <v>0.7</v>
      </c>
      <c r="H179" s="2">
        <v>0.7</v>
      </c>
      <c r="I179" s="2">
        <v>0.7</v>
      </c>
      <c r="J179" s="2">
        <v>0.7</v>
      </c>
      <c r="K179" s="2">
        <v>0.71</v>
      </c>
      <c r="L179" s="2">
        <v>0.7</v>
      </c>
      <c r="M179" s="2">
        <v>0.68</v>
      </c>
      <c r="N179" s="2">
        <f>AVERAGE(B179:M179)</f>
        <v>0.69833333333333336</v>
      </c>
    </row>
    <row r="180" spans="1:18" x14ac:dyDescent="0.25">
      <c r="A180" s="11">
        <v>2019</v>
      </c>
      <c r="B180" s="2">
        <v>0.69</v>
      </c>
      <c r="C180" s="2">
        <v>0.69</v>
      </c>
      <c r="D180" s="2">
        <v>0.69</v>
      </c>
      <c r="E180" s="2">
        <v>0.69</v>
      </c>
      <c r="F180" s="2">
        <v>0.69</v>
      </c>
      <c r="G180" s="2">
        <v>0.68</v>
      </c>
      <c r="H180" s="2">
        <v>0.68</v>
      </c>
      <c r="I180" s="2">
        <v>0.68</v>
      </c>
      <c r="J180" s="2">
        <v>0.68</v>
      </c>
      <c r="K180" s="2">
        <v>0.73</v>
      </c>
      <c r="L180" s="2">
        <v>0.71</v>
      </c>
      <c r="M180" s="2">
        <v>0.68</v>
      </c>
      <c r="N180" s="2">
        <f>AVERAGE(B180:M180)</f>
        <v>0.6908333333333333</v>
      </c>
    </row>
    <row r="181" spans="1:18" x14ac:dyDescent="0.25">
      <c r="A181" s="11">
        <v>2020</v>
      </c>
      <c r="B181" s="2">
        <v>0.67</v>
      </c>
      <c r="C181" s="2">
        <v>0.67</v>
      </c>
      <c r="D181" s="2">
        <v>0.68</v>
      </c>
      <c r="E181" s="2">
        <v>0.75</v>
      </c>
      <c r="F181" s="2">
        <v>0.79</v>
      </c>
      <c r="G181" s="2">
        <v>0.91</v>
      </c>
      <c r="H181" s="2">
        <v>0.84</v>
      </c>
      <c r="I181" s="2">
        <v>0.71458333333333313</v>
      </c>
      <c r="J181" s="2">
        <v>0.72577922077922141</v>
      </c>
      <c r="K181" s="2">
        <v>0.71549707602339241</v>
      </c>
      <c r="L181" s="2">
        <v>0.70929487179487261</v>
      </c>
      <c r="M181" s="2">
        <v>0.71</v>
      </c>
      <c r="N181" s="2">
        <f>AVERAGE(B181:M181)</f>
        <v>0.74042954182756837</v>
      </c>
    </row>
    <row r="182" spans="1:18" x14ac:dyDescent="0.25">
      <c r="A182" s="11">
        <v>2021</v>
      </c>
      <c r="B182" s="20">
        <v>0.72</v>
      </c>
      <c r="C182" s="22">
        <v>0.71</v>
      </c>
      <c r="D182" s="24">
        <v>0.71</v>
      </c>
      <c r="E182" s="26">
        <v>0.72</v>
      </c>
      <c r="L182" s="18"/>
      <c r="M182" s="18"/>
      <c r="N182" s="20">
        <f>AVERAGE(B182:M182)</f>
        <v>0.71499999999999986</v>
      </c>
    </row>
    <row r="183" spans="1:18" x14ac:dyDescent="0.25">
      <c r="L183" s="18"/>
      <c r="M183" s="18"/>
    </row>
    <row r="184" spans="1:18" ht="18" x14ac:dyDescent="0.25">
      <c r="A184" s="27" t="s">
        <v>28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7"/>
      <c r="P184" s="7"/>
      <c r="Q184" s="7"/>
      <c r="R184" s="7"/>
    </row>
    <row r="185" spans="1:18" x14ac:dyDescent="0.25">
      <c r="A185" s="11" t="s">
        <v>20</v>
      </c>
      <c r="B185" s="1" t="s">
        <v>7</v>
      </c>
      <c r="C185" s="1" t="s">
        <v>8</v>
      </c>
      <c r="D185" s="1" t="s">
        <v>9</v>
      </c>
      <c r="E185" s="1" t="s">
        <v>10</v>
      </c>
      <c r="F185" s="1" t="s">
        <v>11</v>
      </c>
      <c r="G185" s="1" t="s">
        <v>12</v>
      </c>
      <c r="H185" s="1" t="s">
        <v>13</v>
      </c>
      <c r="I185" s="1" t="s">
        <v>14</v>
      </c>
      <c r="J185" s="1" t="s">
        <v>15</v>
      </c>
      <c r="K185" s="1" t="s">
        <v>16</v>
      </c>
      <c r="L185" s="1" t="s">
        <v>17</v>
      </c>
      <c r="M185" s="1" t="s">
        <v>18</v>
      </c>
      <c r="N185" s="1" t="s">
        <v>19</v>
      </c>
    </row>
    <row r="186" spans="1:18" x14ac:dyDescent="0.25">
      <c r="A186" s="11">
        <v>2001</v>
      </c>
      <c r="B186" s="1">
        <v>32.87085714285714</v>
      </c>
      <c r="C186" s="1">
        <v>33.033142857142856</v>
      </c>
      <c r="D186" s="1">
        <v>31.733714285714289</v>
      </c>
      <c r="E186" s="1">
        <v>30.290285714285716</v>
      </c>
      <c r="F186" s="1">
        <v>29.585142857142859</v>
      </c>
      <c r="G186" s="1">
        <v>31.221714285714285</v>
      </c>
      <c r="H186" s="1">
        <v>34.434285714285714</v>
      </c>
      <c r="I186" s="1">
        <v>36.380571428571429</v>
      </c>
      <c r="J186" s="1">
        <v>39.540571428571432</v>
      </c>
      <c r="K186" s="1">
        <v>47.454857142857144</v>
      </c>
      <c r="L186" s="1">
        <v>42.163428571428575</v>
      </c>
      <c r="M186" s="1">
        <v>34.819428571428574</v>
      </c>
      <c r="N186" s="1">
        <f t="shared" ref="N186:N201" si="7">AVERAGE(B186:M186)</f>
        <v>35.294000000000004</v>
      </c>
    </row>
    <row r="187" spans="1:18" x14ac:dyDescent="0.25">
      <c r="A187" s="11">
        <v>2002</v>
      </c>
      <c r="B187" s="1">
        <v>36.677714285714288</v>
      </c>
      <c r="C187" s="1">
        <v>37.329142857142855</v>
      </c>
      <c r="D187" s="1">
        <v>37.456000000000003</v>
      </c>
      <c r="E187" s="1">
        <v>37.971428571428568</v>
      </c>
      <c r="F187" s="1">
        <v>37.885714285714286</v>
      </c>
      <c r="G187" s="1">
        <v>38.243428571428574</v>
      </c>
      <c r="H187" s="1">
        <v>35.381714285714281</v>
      </c>
      <c r="I187" s="1">
        <v>35.515428571428572</v>
      </c>
      <c r="J187" s="1">
        <v>35.105142857142859</v>
      </c>
      <c r="K187" s="1">
        <v>37.462857142857146</v>
      </c>
      <c r="L187" s="1">
        <v>32.390857142857143</v>
      </c>
      <c r="M187" s="1">
        <v>30</v>
      </c>
      <c r="N187" s="1">
        <f t="shared" si="7"/>
        <v>35.951619047619054</v>
      </c>
    </row>
    <row r="188" spans="1:18" x14ac:dyDescent="0.25">
      <c r="A188" s="11">
        <v>2003</v>
      </c>
      <c r="B188" s="1">
        <v>29.391999999999999</v>
      </c>
      <c r="C188" s="1">
        <v>28.676571428571428</v>
      </c>
      <c r="D188" s="1">
        <v>28.194285714285712</v>
      </c>
      <c r="E188" s="1">
        <v>27.56457142857143</v>
      </c>
      <c r="F188" s="1">
        <v>27.428571428571427</v>
      </c>
      <c r="G188" s="1">
        <v>27.771428571428572</v>
      </c>
      <c r="H188" s="1">
        <v>25.955428571428573</v>
      </c>
      <c r="I188" s="1">
        <v>26.630857142857145</v>
      </c>
      <c r="J188" s="1">
        <v>26.478857142857141</v>
      </c>
      <c r="K188" s="1">
        <v>29.071999999999999</v>
      </c>
      <c r="L188" s="1">
        <v>25.836571428571428</v>
      </c>
      <c r="M188" s="1">
        <v>25.309714285714286</v>
      </c>
      <c r="N188" s="1">
        <f t="shared" si="7"/>
        <v>27.359238095238094</v>
      </c>
    </row>
    <row r="189" spans="1:18" x14ac:dyDescent="0.25">
      <c r="A189" s="11">
        <v>2004</v>
      </c>
      <c r="B189" s="1">
        <v>25.96</v>
      </c>
      <c r="C189" s="1">
        <v>26.03</v>
      </c>
      <c r="D189" s="1">
        <v>27.51</v>
      </c>
      <c r="E189" s="1">
        <v>32.79</v>
      </c>
      <c r="F189" s="1">
        <v>33.94</v>
      </c>
      <c r="G189" s="1">
        <v>36.4</v>
      </c>
      <c r="H189" s="1">
        <v>44.43</v>
      </c>
      <c r="I189" s="1">
        <v>42.83</v>
      </c>
      <c r="J189" s="1">
        <v>48.74</v>
      </c>
      <c r="K189" s="1">
        <v>55.11</v>
      </c>
      <c r="L189" s="1">
        <v>39.78</v>
      </c>
      <c r="M189" s="1">
        <v>35.270000000000003</v>
      </c>
      <c r="N189" s="1">
        <f t="shared" si="7"/>
        <v>37.399166666666666</v>
      </c>
    </row>
    <row r="190" spans="1:18" x14ac:dyDescent="0.25">
      <c r="A190" s="11">
        <v>2005</v>
      </c>
      <c r="B190" s="1">
        <v>42.96</v>
      </c>
      <c r="C190" s="1">
        <v>40.03</v>
      </c>
      <c r="D190" s="1">
        <v>40.840000000000003</v>
      </c>
      <c r="E190" s="1">
        <v>46.61</v>
      </c>
      <c r="F190" s="1">
        <v>46.68</v>
      </c>
      <c r="G190" s="1">
        <v>47.24</v>
      </c>
      <c r="H190" s="1">
        <v>44.08</v>
      </c>
      <c r="I190" s="1">
        <v>42.88</v>
      </c>
      <c r="J190" s="1">
        <v>44.23</v>
      </c>
      <c r="K190" s="1">
        <v>51.4</v>
      </c>
      <c r="L190" s="1">
        <v>44.03</v>
      </c>
      <c r="M190" s="1">
        <v>40.98</v>
      </c>
      <c r="N190" s="1">
        <f t="shared" si="7"/>
        <v>44.330000000000005</v>
      </c>
    </row>
    <row r="191" spans="1:18" x14ac:dyDescent="0.25">
      <c r="A191" s="11">
        <v>2006</v>
      </c>
      <c r="B191" s="1">
        <v>40.25</v>
      </c>
      <c r="C191" s="1">
        <v>39.44</v>
      </c>
      <c r="D191" s="1">
        <v>39.25</v>
      </c>
      <c r="E191" s="1">
        <v>40.880000000000003</v>
      </c>
      <c r="F191" s="1">
        <v>42.51</v>
      </c>
      <c r="G191" s="1">
        <v>41.88</v>
      </c>
      <c r="H191" s="1">
        <v>40.6</v>
      </c>
      <c r="I191" s="1">
        <v>37.909999999999997</v>
      </c>
      <c r="J191" s="1">
        <v>38.93</v>
      </c>
      <c r="K191" s="1">
        <v>40.31</v>
      </c>
      <c r="L191" s="1">
        <v>38.69</v>
      </c>
      <c r="M191" s="1">
        <v>35.729999999999997</v>
      </c>
      <c r="N191" s="1">
        <f t="shared" si="7"/>
        <v>39.698333333333338</v>
      </c>
    </row>
    <row r="192" spans="1:18" x14ac:dyDescent="0.25">
      <c r="A192" s="11">
        <v>2007</v>
      </c>
      <c r="B192" s="1">
        <v>36.83</v>
      </c>
      <c r="C192" s="1">
        <v>37.04</v>
      </c>
      <c r="D192" s="1">
        <v>38</v>
      </c>
      <c r="E192" s="1">
        <v>38.57</v>
      </c>
      <c r="F192" s="1">
        <v>38.549999999999997</v>
      </c>
      <c r="G192" s="1">
        <v>48.28</v>
      </c>
      <c r="H192" s="1">
        <v>48.38</v>
      </c>
      <c r="I192" s="1">
        <v>51.97</v>
      </c>
      <c r="J192" s="1">
        <v>55.83</v>
      </c>
      <c r="K192" s="1">
        <v>76.099999999999994</v>
      </c>
      <c r="L192" s="1">
        <v>86.12</v>
      </c>
      <c r="M192" s="1">
        <v>71.5</v>
      </c>
      <c r="N192" s="1">
        <f t="shared" si="7"/>
        <v>52.264166666666661</v>
      </c>
    </row>
    <row r="193" spans="1:18" x14ac:dyDescent="0.25">
      <c r="A193" s="11">
        <v>2008</v>
      </c>
      <c r="B193" s="1">
        <v>71.53</v>
      </c>
      <c r="C193" s="1">
        <v>71.459999999999994</v>
      </c>
      <c r="D193" s="1">
        <v>69.16</v>
      </c>
      <c r="E193" s="1">
        <v>76.09</v>
      </c>
      <c r="F193" s="1">
        <v>80.37</v>
      </c>
      <c r="G193" s="1">
        <v>96.4</v>
      </c>
      <c r="H193" s="1">
        <v>94.75</v>
      </c>
      <c r="I193" s="1">
        <v>85.62</v>
      </c>
      <c r="J193" s="1">
        <v>78.2</v>
      </c>
      <c r="K193" s="1">
        <v>74.319999999999993</v>
      </c>
      <c r="L193" s="1">
        <v>69.290000000000006</v>
      </c>
      <c r="M193" s="1">
        <v>60.71</v>
      </c>
      <c r="N193" s="1">
        <f t="shared" si="7"/>
        <v>77.325000000000003</v>
      </c>
    </row>
    <row r="194" spans="1:18" x14ac:dyDescent="0.25">
      <c r="A194" s="11">
        <v>2009</v>
      </c>
      <c r="B194" s="1">
        <v>60.71</v>
      </c>
      <c r="C194" s="1">
        <v>55.58</v>
      </c>
      <c r="D194" s="1">
        <v>52.7</v>
      </c>
      <c r="E194" s="1">
        <v>53.57</v>
      </c>
      <c r="F194" s="1">
        <v>53.05</v>
      </c>
      <c r="G194" s="1">
        <v>50.06</v>
      </c>
      <c r="H194" s="1">
        <v>47.43</v>
      </c>
      <c r="I194" s="1">
        <v>44.36</v>
      </c>
      <c r="J194" s="1">
        <v>43.63</v>
      </c>
      <c r="K194" s="1">
        <v>43.8</v>
      </c>
      <c r="L194" s="1">
        <v>41.9</v>
      </c>
      <c r="M194" s="1">
        <v>38.74</v>
      </c>
      <c r="N194" s="1">
        <f t="shared" si="7"/>
        <v>48.794166666666676</v>
      </c>
    </row>
    <row r="195" spans="1:18" x14ac:dyDescent="0.25">
      <c r="A195" s="11">
        <v>2010</v>
      </c>
      <c r="B195" s="1">
        <v>43.42</v>
      </c>
      <c r="C195" s="1">
        <v>42.99</v>
      </c>
      <c r="D195" s="1">
        <v>41.9</v>
      </c>
      <c r="E195" s="1">
        <v>43.73</v>
      </c>
      <c r="F195" s="1">
        <v>44.49</v>
      </c>
      <c r="G195" s="1">
        <v>46.53</v>
      </c>
      <c r="H195" s="1">
        <v>51.11</v>
      </c>
      <c r="I195" s="1">
        <v>59.89</v>
      </c>
      <c r="J195" s="1">
        <v>86.05</v>
      </c>
      <c r="K195" s="1">
        <v>108.96</v>
      </c>
      <c r="L195" s="1">
        <v>107.23</v>
      </c>
      <c r="M195" s="1">
        <v>101.27</v>
      </c>
      <c r="N195" s="1">
        <f t="shared" si="7"/>
        <v>64.797499999999999</v>
      </c>
    </row>
    <row r="196" spans="1:18" x14ac:dyDescent="0.25">
      <c r="A196" s="11">
        <v>2011</v>
      </c>
      <c r="B196" s="1">
        <v>113.88</v>
      </c>
      <c r="C196" s="1">
        <v>108.62</v>
      </c>
      <c r="D196" s="1">
        <v>103.49</v>
      </c>
      <c r="E196" s="1">
        <v>104.98</v>
      </c>
      <c r="F196" s="1">
        <v>108.9</v>
      </c>
      <c r="G196" s="1">
        <v>114.73</v>
      </c>
      <c r="H196" s="1">
        <v>112.16</v>
      </c>
      <c r="I196" s="1">
        <v>85.94</v>
      </c>
      <c r="J196" s="1">
        <v>78.14</v>
      </c>
      <c r="K196" s="1">
        <v>74.58</v>
      </c>
      <c r="L196" s="1">
        <v>69.06</v>
      </c>
      <c r="M196" s="1">
        <v>59.98</v>
      </c>
      <c r="N196" s="1">
        <f t="shared" si="7"/>
        <v>94.538333333333341</v>
      </c>
    </row>
    <row r="197" spans="1:18" x14ac:dyDescent="0.25">
      <c r="A197" s="11">
        <v>2012</v>
      </c>
      <c r="B197" s="1">
        <v>62.66</v>
      </c>
      <c r="C197" s="1">
        <v>59.72</v>
      </c>
      <c r="D197" s="1">
        <v>58.55</v>
      </c>
      <c r="E197" s="1">
        <v>64.430000000000007</v>
      </c>
      <c r="F197" s="1">
        <v>58.85</v>
      </c>
      <c r="G197" s="1">
        <v>58.16</v>
      </c>
      <c r="H197" s="1">
        <v>53.11</v>
      </c>
      <c r="I197" s="1">
        <v>55.24</v>
      </c>
      <c r="J197" s="1">
        <v>54.36</v>
      </c>
      <c r="K197" s="1">
        <v>51.75</v>
      </c>
      <c r="L197" s="1">
        <v>44.72</v>
      </c>
      <c r="M197" s="1">
        <v>42.24</v>
      </c>
      <c r="N197" s="1">
        <f t="shared" si="7"/>
        <v>55.315833333333337</v>
      </c>
    </row>
    <row r="198" spans="1:18" x14ac:dyDescent="0.25">
      <c r="A198" s="11">
        <v>2013</v>
      </c>
      <c r="B198" s="1">
        <v>37.840000000000003</v>
      </c>
      <c r="C198" s="1">
        <v>38.44</v>
      </c>
      <c r="D198" s="1">
        <v>38.76</v>
      </c>
      <c r="E198" s="1">
        <v>37.99</v>
      </c>
      <c r="F198" s="1">
        <v>35.78</v>
      </c>
      <c r="G198" s="1">
        <v>35.31</v>
      </c>
      <c r="H198" s="1">
        <v>36.78</v>
      </c>
      <c r="I198" s="1">
        <v>36.32</v>
      </c>
      <c r="J198" s="1">
        <v>38.03</v>
      </c>
      <c r="K198" s="1">
        <v>38.57</v>
      </c>
      <c r="L198" s="1">
        <v>35.99</v>
      </c>
      <c r="M198" s="1">
        <v>32.840000000000003</v>
      </c>
      <c r="N198" s="1">
        <f t="shared" si="7"/>
        <v>36.887499999999996</v>
      </c>
    </row>
    <row r="199" spans="1:18" x14ac:dyDescent="0.25">
      <c r="A199" s="11">
        <v>2014</v>
      </c>
      <c r="B199" s="1">
        <v>36.58</v>
      </c>
      <c r="C199" s="1">
        <v>44.68</v>
      </c>
      <c r="D199" s="1">
        <v>48.16</v>
      </c>
      <c r="E199" s="1">
        <v>58.18</v>
      </c>
      <c r="F199" s="1">
        <v>71.62</v>
      </c>
      <c r="G199" s="1">
        <v>75.95</v>
      </c>
      <c r="H199" s="1">
        <v>102.91</v>
      </c>
      <c r="I199" s="1">
        <v>117.97</v>
      </c>
      <c r="J199" s="1">
        <v>126.38</v>
      </c>
      <c r="K199" s="1">
        <v>130.58000000000001</v>
      </c>
      <c r="L199" s="1">
        <v>80.28</v>
      </c>
      <c r="M199" s="1">
        <v>65.17</v>
      </c>
      <c r="N199" s="1">
        <f t="shared" si="7"/>
        <v>79.87166666666667</v>
      </c>
    </row>
    <row r="200" spans="1:18" x14ac:dyDescent="0.25">
      <c r="A200" s="11">
        <v>2015</v>
      </c>
      <c r="B200" s="1">
        <v>82.38</v>
      </c>
      <c r="C200" s="1">
        <v>76.5</v>
      </c>
      <c r="D200" s="1">
        <v>78.5</v>
      </c>
      <c r="E200" s="1">
        <v>76</v>
      </c>
      <c r="F200" s="1">
        <v>76.33</v>
      </c>
      <c r="G200" s="1">
        <v>81.209999999999994</v>
      </c>
      <c r="H200" s="1">
        <v>92.83</v>
      </c>
      <c r="I200" s="1">
        <v>87.92</v>
      </c>
      <c r="J200" s="1">
        <v>80.69</v>
      </c>
      <c r="K200" s="1">
        <v>68.23</v>
      </c>
      <c r="L200" s="1">
        <v>61.24</v>
      </c>
      <c r="M200" s="1">
        <v>60.04</v>
      </c>
      <c r="N200" s="1">
        <f t="shared" si="7"/>
        <v>76.822499999999991</v>
      </c>
    </row>
    <row r="201" spans="1:18" x14ac:dyDescent="0.25">
      <c r="A201" s="11">
        <v>2016</v>
      </c>
      <c r="B201" s="1">
        <v>61.34</v>
      </c>
      <c r="C201" s="1">
        <v>60.59</v>
      </c>
      <c r="D201" s="1">
        <v>64.260000000000005</v>
      </c>
      <c r="E201" s="1">
        <v>62.2</v>
      </c>
      <c r="F201" s="1">
        <v>59.92</v>
      </c>
      <c r="G201" s="1">
        <v>59.7</v>
      </c>
      <c r="H201" s="1">
        <v>59.24</v>
      </c>
      <c r="I201" s="1">
        <v>62.74</v>
      </c>
      <c r="J201" s="1">
        <v>59.63</v>
      </c>
      <c r="K201" s="1">
        <v>55.64</v>
      </c>
      <c r="L201" s="1">
        <v>61.06</v>
      </c>
      <c r="M201" s="1">
        <v>55.93</v>
      </c>
      <c r="N201" s="1">
        <f t="shared" si="7"/>
        <v>60.187499999999993</v>
      </c>
    </row>
    <row r="202" spans="1:18" x14ac:dyDescent="0.25">
      <c r="A202" s="11">
        <v>2017</v>
      </c>
      <c r="B202" s="2">
        <v>56.39</v>
      </c>
      <c r="C202" s="2">
        <v>58.77</v>
      </c>
      <c r="D202" s="2">
        <v>59.25</v>
      </c>
      <c r="E202" s="2">
        <v>58.62</v>
      </c>
      <c r="F202" s="2">
        <v>58.52</v>
      </c>
      <c r="G202" s="2">
        <v>58.76</v>
      </c>
      <c r="H202" s="2">
        <v>60.94</v>
      </c>
      <c r="I202" s="2">
        <v>55.35</v>
      </c>
      <c r="J202" s="2">
        <v>54.03</v>
      </c>
      <c r="K202" s="2">
        <v>57.07</v>
      </c>
      <c r="L202" s="2">
        <v>55.36</v>
      </c>
      <c r="M202" s="2">
        <v>54.26</v>
      </c>
      <c r="N202" s="2">
        <f>AVERAGE(B202:M202)</f>
        <v>57.276666666666671</v>
      </c>
    </row>
    <row r="203" spans="1:18" x14ac:dyDescent="0.25">
      <c r="A203" s="11">
        <v>2018</v>
      </c>
      <c r="B203" s="2">
        <v>56.28</v>
      </c>
      <c r="C203" s="2">
        <v>57.97</v>
      </c>
      <c r="D203" s="2">
        <v>58.16</v>
      </c>
      <c r="E203" s="2">
        <v>58.56</v>
      </c>
      <c r="F203" s="2">
        <v>58.25</v>
      </c>
      <c r="G203" s="2">
        <v>58.67</v>
      </c>
      <c r="H203" s="2">
        <v>57.78</v>
      </c>
      <c r="I203" s="2">
        <v>57.81</v>
      </c>
      <c r="J203" s="2">
        <v>57.43</v>
      </c>
      <c r="K203" s="2">
        <v>58.1</v>
      </c>
      <c r="L203" s="2">
        <v>57.15</v>
      </c>
      <c r="M203" s="2">
        <v>54.43</v>
      </c>
      <c r="N203" s="2">
        <f>AVERAGE(B203:M203)</f>
        <v>57.549166666666672</v>
      </c>
    </row>
    <row r="204" spans="1:18" x14ac:dyDescent="0.25">
      <c r="A204" s="11">
        <v>2019</v>
      </c>
      <c r="B204" s="2">
        <v>55.24</v>
      </c>
      <c r="C204" s="2">
        <v>55.28</v>
      </c>
      <c r="D204" s="2">
        <v>54.94</v>
      </c>
      <c r="E204" s="2">
        <v>54.21</v>
      </c>
      <c r="F204" s="2">
        <v>53.17</v>
      </c>
      <c r="G204" s="2">
        <v>53.22</v>
      </c>
      <c r="H204" s="2">
        <v>53.18</v>
      </c>
      <c r="I204" s="2">
        <v>54.53</v>
      </c>
      <c r="J204" s="2">
        <v>56.25</v>
      </c>
      <c r="K204" s="2">
        <v>65.97</v>
      </c>
      <c r="L204" s="2">
        <v>59.56</v>
      </c>
      <c r="M204" s="2">
        <v>55.69</v>
      </c>
      <c r="N204" s="2">
        <f>AVERAGE(B204:M204)</f>
        <v>55.936666666666689</v>
      </c>
    </row>
    <row r="205" spans="1:18" x14ac:dyDescent="0.25">
      <c r="A205" s="11">
        <v>2020</v>
      </c>
      <c r="B205" s="2">
        <v>55.13</v>
      </c>
      <c r="C205" s="2">
        <v>54.25</v>
      </c>
      <c r="D205" s="2">
        <v>56.66</v>
      </c>
      <c r="E205" s="2">
        <v>65.989999999999995</v>
      </c>
      <c r="F205" s="2">
        <v>72.89</v>
      </c>
      <c r="G205" s="2">
        <v>85.05</v>
      </c>
      <c r="H205" s="2">
        <v>77.349999999999994</v>
      </c>
      <c r="I205" s="2">
        <v>57.614583333333336</v>
      </c>
      <c r="J205" s="2">
        <v>60.194805194805198</v>
      </c>
      <c r="K205" s="2">
        <v>57.736842105263158</v>
      </c>
      <c r="L205" s="2">
        <v>54.448717948717949</v>
      </c>
      <c r="M205" s="2">
        <v>53.76</v>
      </c>
      <c r="N205" s="2">
        <f>AVERAGE(B205:M205)</f>
        <v>62.589579048509961</v>
      </c>
    </row>
    <row r="206" spans="1:18" x14ac:dyDescent="0.25">
      <c r="A206" s="11">
        <v>2021</v>
      </c>
      <c r="B206" s="19">
        <v>62.12</v>
      </c>
      <c r="C206" s="21">
        <v>59.36</v>
      </c>
      <c r="D206" s="23">
        <v>57.63</v>
      </c>
      <c r="E206" s="25">
        <v>54.21</v>
      </c>
      <c r="L206" s="18"/>
      <c r="M206" s="18"/>
      <c r="N206" s="19">
        <f>AVERAGE(B206:M206)</f>
        <v>58.33</v>
      </c>
    </row>
    <row r="207" spans="1:18" x14ac:dyDescent="0.25">
      <c r="L207" s="18"/>
      <c r="M207" s="18"/>
    </row>
    <row r="208" spans="1:18" ht="20.25" x14ac:dyDescent="0.3">
      <c r="A208" s="28" t="s">
        <v>29</v>
      </c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6"/>
      <c r="P208" s="6"/>
      <c r="Q208" s="6"/>
      <c r="R208" s="6"/>
    </row>
    <row r="209" spans="1:18" ht="18" x14ac:dyDescent="0.25">
      <c r="A209" s="27" t="s">
        <v>6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7"/>
      <c r="P209" s="7"/>
      <c r="Q209" s="7"/>
      <c r="R209" s="7"/>
    </row>
    <row r="210" spans="1:18" x14ac:dyDescent="0.25">
      <c r="A210" s="11" t="s">
        <v>20</v>
      </c>
      <c r="B210" s="1" t="s">
        <v>7</v>
      </c>
      <c r="C210" s="1" t="s">
        <v>8</v>
      </c>
      <c r="D210" s="1" t="s">
        <v>9</v>
      </c>
      <c r="E210" s="1" t="s">
        <v>10</v>
      </c>
      <c r="F210" s="1" t="s">
        <v>11</v>
      </c>
      <c r="G210" s="1" t="s">
        <v>12</v>
      </c>
      <c r="H210" s="1" t="s">
        <v>13</v>
      </c>
      <c r="I210" s="1" t="s">
        <v>14</v>
      </c>
      <c r="J210" s="1" t="s">
        <v>15</v>
      </c>
      <c r="K210" s="1" t="s">
        <v>16</v>
      </c>
      <c r="L210" s="1" t="s">
        <v>17</v>
      </c>
      <c r="M210" s="1" t="s">
        <v>18</v>
      </c>
      <c r="N210" s="8" t="s">
        <v>19</v>
      </c>
    </row>
    <row r="211" spans="1:18" x14ac:dyDescent="0.25">
      <c r="A211" s="11">
        <v>2001</v>
      </c>
      <c r="B211" s="1">
        <f>3.32/8.75</f>
        <v>0.37942857142857139</v>
      </c>
      <c r="C211" s="1">
        <f>3.34/8.75</f>
        <v>0.38171428571428567</v>
      </c>
      <c r="D211" s="1">
        <f>3.12/8.75</f>
        <v>0.35657142857142859</v>
      </c>
      <c r="E211" s="1">
        <f>3.07/8.75</f>
        <v>0.35085714285714281</v>
      </c>
      <c r="F211" s="1">
        <f>3.02/8.75</f>
        <v>0.34514285714285714</v>
      </c>
      <c r="G211" s="1">
        <f>3.06/8.75</f>
        <v>0.3497142857142857</v>
      </c>
      <c r="H211" s="1">
        <f>3.3/8.75</f>
        <v>0.37714285714285711</v>
      </c>
      <c r="I211" s="1">
        <f>3.66/8.75</f>
        <v>0.41828571428571432</v>
      </c>
      <c r="J211" s="1">
        <f>3.57/8.75</f>
        <v>0.40799999999999997</v>
      </c>
      <c r="K211" s="1">
        <f>4.25/8.75</f>
        <v>0.48571428571428571</v>
      </c>
      <c r="L211" s="1">
        <f>4.26/8.75</f>
        <v>0.48685714285714282</v>
      </c>
      <c r="M211" s="1">
        <f>3.5/8.75</f>
        <v>0.4</v>
      </c>
      <c r="N211" s="1">
        <f t="shared" ref="N211:N227" si="8">AVERAGE(B211:M211)</f>
        <v>0.39495238095238094</v>
      </c>
    </row>
    <row r="212" spans="1:18" x14ac:dyDescent="0.25">
      <c r="A212" s="11">
        <v>2002</v>
      </c>
      <c r="B212" s="1">
        <f>3.47/8.75</f>
        <v>0.39657142857142857</v>
      </c>
      <c r="C212" s="1">
        <f>3.48/8.75</f>
        <v>0.39771428571428569</v>
      </c>
      <c r="D212" s="1">
        <f>3.45/8.75</f>
        <v>0.39428571428571429</v>
      </c>
      <c r="E212" s="1">
        <f>3.44/8.75</f>
        <v>0.39314285714285713</v>
      </c>
      <c r="F212" s="1">
        <f>3.47/8.75</f>
        <v>0.39657142857142857</v>
      </c>
      <c r="G212" s="1">
        <f>3.5/8.75</f>
        <v>0.4</v>
      </c>
      <c r="H212" s="1">
        <f>3.4/8.75</f>
        <v>0.38857142857142857</v>
      </c>
      <c r="I212" s="1">
        <f>3.35/8.75</f>
        <v>0.38285714285714284</v>
      </c>
      <c r="J212" s="1">
        <f>3.21/8.75</f>
        <v>0.36685714285714283</v>
      </c>
      <c r="K212" s="1">
        <f>3.27/8.75</f>
        <v>0.37371428571428572</v>
      </c>
      <c r="L212" s="1">
        <f>3.17/8.75</f>
        <v>0.36228571428571427</v>
      </c>
      <c r="M212" s="1">
        <f>3.1/8.75</f>
        <v>0.35428571428571431</v>
      </c>
      <c r="N212" s="1">
        <f t="shared" si="8"/>
        <v>0.38390476190476192</v>
      </c>
    </row>
    <row r="213" spans="1:18" x14ac:dyDescent="0.25">
      <c r="A213" s="11">
        <v>2003</v>
      </c>
      <c r="B213" s="1">
        <v>0.33</v>
      </c>
      <c r="C213" s="1">
        <v>0.34</v>
      </c>
      <c r="D213" s="1">
        <v>0.34</v>
      </c>
      <c r="E213" s="1">
        <v>0.34</v>
      </c>
      <c r="F213" s="1">
        <v>0.34</v>
      </c>
      <c r="G213" s="1">
        <v>0.33</v>
      </c>
      <c r="H213" s="1">
        <v>0.33</v>
      </c>
      <c r="I213" s="1">
        <v>0.34</v>
      </c>
      <c r="J213" s="1">
        <v>0.35</v>
      </c>
      <c r="K213" s="1">
        <v>0.36</v>
      </c>
      <c r="L213" s="1">
        <v>0.36</v>
      </c>
      <c r="M213" s="1">
        <v>0.34</v>
      </c>
      <c r="N213" s="1">
        <f t="shared" si="8"/>
        <v>0.34166666666666662</v>
      </c>
    </row>
    <row r="214" spans="1:18" x14ac:dyDescent="0.25">
      <c r="A214" s="11">
        <v>2004</v>
      </c>
      <c r="B214" s="1">
        <v>0.34</v>
      </c>
      <c r="C214" s="1">
        <v>0.34</v>
      </c>
      <c r="D214" s="1">
        <v>0.34</v>
      </c>
      <c r="E214" s="1">
        <v>0.36</v>
      </c>
      <c r="F214" s="1">
        <v>0.4</v>
      </c>
      <c r="G214" s="1">
        <v>0.42</v>
      </c>
      <c r="H214" s="1">
        <v>0.47</v>
      </c>
      <c r="I214" s="1">
        <v>0.47</v>
      </c>
      <c r="J214" s="1">
        <v>0.52</v>
      </c>
      <c r="K214" s="1">
        <v>0.67</v>
      </c>
      <c r="L214" s="1">
        <v>0.57999999999999996</v>
      </c>
      <c r="M214" s="1">
        <v>0.56000000000000005</v>
      </c>
      <c r="N214" s="1">
        <f t="shared" si="8"/>
        <v>0.45583333333333337</v>
      </c>
    </row>
    <row r="215" spans="1:18" x14ac:dyDescent="0.25">
      <c r="A215" s="11">
        <v>2005</v>
      </c>
      <c r="B215" s="1">
        <v>0.56000000000000005</v>
      </c>
      <c r="C215" s="1">
        <v>0.51</v>
      </c>
      <c r="D215" s="1">
        <v>0.51</v>
      </c>
      <c r="E215" s="1">
        <v>0.55000000000000004</v>
      </c>
      <c r="F215" s="1">
        <v>0.54</v>
      </c>
      <c r="G215" s="1">
        <v>0.54</v>
      </c>
      <c r="H215" s="1">
        <v>0.51</v>
      </c>
      <c r="I215" s="1">
        <v>0.51</v>
      </c>
      <c r="J215" s="1">
        <v>0.5</v>
      </c>
      <c r="K215" s="1">
        <v>0.55000000000000004</v>
      </c>
      <c r="L215" s="1">
        <v>0.53</v>
      </c>
      <c r="M215" s="1">
        <v>0.51</v>
      </c>
      <c r="N215" s="1">
        <f t="shared" si="8"/>
        <v>0.52666666666666662</v>
      </c>
    </row>
    <row r="216" spans="1:18" x14ac:dyDescent="0.25">
      <c r="A216" s="11">
        <v>2006</v>
      </c>
      <c r="B216" s="1">
        <v>0.51</v>
      </c>
      <c r="C216" s="1">
        <v>0.51</v>
      </c>
      <c r="D216" s="1">
        <v>0.51</v>
      </c>
      <c r="E216" s="1">
        <v>0.51</v>
      </c>
      <c r="F216" s="1">
        <v>0.51</v>
      </c>
      <c r="G216" s="1">
        <v>0.51</v>
      </c>
      <c r="H216" s="1">
        <v>0.51</v>
      </c>
      <c r="I216" s="1">
        <v>0.51</v>
      </c>
      <c r="J216" s="1">
        <v>0.51</v>
      </c>
      <c r="K216" s="1">
        <v>0.51</v>
      </c>
      <c r="L216" s="1">
        <v>0.51</v>
      </c>
      <c r="M216" s="1">
        <v>0.5</v>
      </c>
      <c r="N216" s="1">
        <f t="shared" si="8"/>
        <v>0.50916666666666655</v>
      </c>
    </row>
    <row r="217" spans="1:18" x14ac:dyDescent="0.25">
      <c r="A217" s="11">
        <v>2007</v>
      </c>
      <c r="B217" s="1">
        <v>0.5</v>
      </c>
      <c r="C217" s="1">
        <v>0.49</v>
      </c>
      <c r="D217" s="1">
        <v>0.48</v>
      </c>
      <c r="E217" s="1">
        <v>0.48</v>
      </c>
      <c r="F217" s="1">
        <v>0.5</v>
      </c>
      <c r="G217" s="1">
        <v>0.52</v>
      </c>
      <c r="H217" s="1">
        <v>0.53</v>
      </c>
      <c r="I217" s="1">
        <v>0.56000000000000005</v>
      </c>
      <c r="J217" s="1">
        <v>0.64</v>
      </c>
      <c r="K217" s="1">
        <v>0.85</v>
      </c>
      <c r="L217" s="1">
        <v>1.02</v>
      </c>
      <c r="M217" s="1">
        <v>0.82</v>
      </c>
      <c r="N217" s="1">
        <f t="shared" si="8"/>
        <v>0.61583333333333334</v>
      </c>
    </row>
    <row r="218" spans="1:18" x14ac:dyDescent="0.25">
      <c r="A218" s="11">
        <v>2008</v>
      </c>
      <c r="B218" s="1">
        <v>0.78</v>
      </c>
      <c r="C218" s="1">
        <v>0.78</v>
      </c>
      <c r="D218" s="1">
        <v>0.78</v>
      </c>
      <c r="E218" s="1">
        <v>0.84</v>
      </c>
      <c r="F218" s="1">
        <v>0.88</v>
      </c>
      <c r="G218" s="1">
        <v>1.03</v>
      </c>
      <c r="H218" s="1">
        <v>1.07</v>
      </c>
      <c r="I218" s="1">
        <v>0.99</v>
      </c>
      <c r="J218" s="1">
        <v>0.88</v>
      </c>
      <c r="K218" s="1">
        <v>0.77</v>
      </c>
      <c r="L218" s="1">
        <v>0.75</v>
      </c>
      <c r="M218" s="1">
        <v>0.69</v>
      </c>
      <c r="N218" s="1">
        <f t="shared" si="8"/>
        <v>0.85333333333333339</v>
      </c>
    </row>
    <row r="219" spans="1:18" x14ac:dyDescent="0.25">
      <c r="A219" s="11">
        <v>2009</v>
      </c>
      <c r="B219" s="1">
        <v>0.67</v>
      </c>
      <c r="C219" s="1">
        <v>0.68</v>
      </c>
      <c r="D219" s="1">
        <v>0.64</v>
      </c>
      <c r="E219" s="1">
        <v>0.66</v>
      </c>
      <c r="F219" s="1">
        <v>0.66</v>
      </c>
      <c r="G219" s="1">
        <v>0.62</v>
      </c>
      <c r="H219" s="1">
        <v>0.53</v>
      </c>
      <c r="I219" s="1">
        <v>0.53</v>
      </c>
      <c r="J219" s="1">
        <v>0.53</v>
      </c>
      <c r="K219" s="1">
        <v>0.49</v>
      </c>
      <c r="L219" s="1">
        <v>0.48</v>
      </c>
      <c r="M219" s="1">
        <v>0.48</v>
      </c>
      <c r="N219" s="1">
        <f t="shared" si="8"/>
        <v>0.58083333333333353</v>
      </c>
    </row>
    <row r="220" spans="1:18" x14ac:dyDescent="0.25">
      <c r="A220" s="11">
        <v>2010</v>
      </c>
      <c r="B220" s="1">
        <v>0.48</v>
      </c>
      <c r="C220" s="1">
        <v>0.48</v>
      </c>
      <c r="D220" s="1">
        <v>0.48</v>
      </c>
      <c r="E220" s="1">
        <v>0.52</v>
      </c>
      <c r="F220" s="1">
        <v>0.51</v>
      </c>
      <c r="G220" s="1">
        <v>0.53</v>
      </c>
      <c r="H220" s="1">
        <v>0.54</v>
      </c>
      <c r="I220" s="1">
        <v>0.62</v>
      </c>
      <c r="J220" s="1">
        <v>0.9</v>
      </c>
      <c r="K220" s="1">
        <v>1.1100000000000001</v>
      </c>
      <c r="L220" s="1">
        <v>1.22</v>
      </c>
      <c r="M220" s="1">
        <v>1.07</v>
      </c>
      <c r="N220" s="1">
        <f t="shared" si="8"/>
        <v>0.70500000000000007</v>
      </c>
    </row>
    <row r="221" spans="1:18" x14ac:dyDescent="0.25">
      <c r="A221" s="11">
        <v>2011</v>
      </c>
      <c r="B221" s="1">
        <v>1.18</v>
      </c>
      <c r="C221" s="1">
        <v>1.1499999999999999</v>
      </c>
      <c r="D221" s="1">
        <v>1.1200000000000001</v>
      </c>
      <c r="E221" s="1">
        <v>1.1399999999999999</v>
      </c>
      <c r="F221" s="1">
        <v>1.22</v>
      </c>
      <c r="G221" s="1">
        <v>1.23</v>
      </c>
      <c r="H221" s="1">
        <v>1.21</v>
      </c>
      <c r="I221" s="1">
        <v>1.04</v>
      </c>
      <c r="J221" s="1">
        <v>0.8</v>
      </c>
      <c r="K221" s="1">
        <v>0.76</v>
      </c>
      <c r="L221" s="1">
        <v>0.72</v>
      </c>
      <c r="M221" s="1">
        <v>0.75</v>
      </c>
      <c r="N221" s="1">
        <f t="shared" si="8"/>
        <v>1.0266666666666666</v>
      </c>
    </row>
    <row r="222" spans="1:18" x14ac:dyDescent="0.25">
      <c r="A222" s="11">
        <v>2012</v>
      </c>
      <c r="B222" s="1">
        <v>0.67</v>
      </c>
      <c r="C222" s="1">
        <v>0.67</v>
      </c>
      <c r="D222" s="1">
        <v>0.65</v>
      </c>
      <c r="E222" s="1">
        <v>0.67</v>
      </c>
      <c r="F222" s="1">
        <v>0.7</v>
      </c>
      <c r="G222" s="1">
        <v>0.67</v>
      </c>
      <c r="H222" s="1">
        <v>0.63</v>
      </c>
      <c r="I222" s="1">
        <v>0.62</v>
      </c>
      <c r="J222" s="1">
        <v>0.62</v>
      </c>
      <c r="K222" s="1">
        <v>0.6</v>
      </c>
      <c r="L222" s="1">
        <v>0.53</v>
      </c>
      <c r="M222" s="1">
        <v>0.51</v>
      </c>
      <c r="N222" s="1">
        <f t="shared" si="8"/>
        <v>0.6283333333333333</v>
      </c>
    </row>
    <row r="223" spans="1:18" x14ac:dyDescent="0.25">
      <c r="A223" s="11">
        <v>2013</v>
      </c>
      <c r="B223" s="1">
        <v>0.46</v>
      </c>
      <c r="C223" s="1">
        <v>0.47</v>
      </c>
      <c r="D223" s="1">
        <v>0.45</v>
      </c>
      <c r="E223" s="1">
        <v>0.42</v>
      </c>
      <c r="F223" s="1">
        <v>0.42</v>
      </c>
      <c r="G223" s="1">
        <v>0.42</v>
      </c>
      <c r="H223" s="1">
        <v>0.42</v>
      </c>
      <c r="I223" s="1">
        <v>0.41</v>
      </c>
      <c r="J223" s="1">
        <v>0.42</v>
      </c>
      <c r="K223" s="1">
        <v>0.44</v>
      </c>
      <c r="L223" s="1">
        <v>0.44</v>
      </c>
      <c r="M223" s="1">
        <v>0.43</v>
      </c>
      <c r="N223" s="1">
        <f t="shared" si="8"/>
        <v>0.43333333333333335</v>
      </c>
    </row>
    <row r="224" spans="1:18" x14ac:dyDescent="0.25">
      <c r="A224" s="11">
        <v>2014</v>
      </c>
      <c r="B224" s="1">
        <v>0.43</v>
      </c>
      <c r="C224" s="1">
        <v>0.46</v>
      </c>
      <c r="D224" s="1">
        <v>0.51</v>
      </c>
      <c r="E224" s="1">
        <v>0.6</v>
      </c>
      <c r="F224" s="1">
        <v>0.7</v>
      </c>
      <c r="G224" s="1">
        <v>0.74</v>
      </c>
      <c r="H224" s="1">
        <v>1.06</v>
      </c>
      <c r="I224" s="1">
        <v>1.26</v>
      </c>
      <c r="J224" s="1">
        <v>1.27</v>
      </c>
      <c r="K224" s="1">
        <v>1.35</v>
      </c>
      <c r="L224" s="1">
        <v>1.07</v>
      </c>
      <c r="M224" s="1">
        <v>0.71</v>
      </c>
      <c r="N224" s="1">
        <f t="shared" si="8"/>
        <v>0.84666666666666668</v>
      </c>
    </row>
    <row r="225" spans="1:18" x14ac:dyDescent="0.25">
      <c r="A225" s="11">
        <v>2015</v>
      </c>
      <c r="B225" s="1">
        <v>0.85</v>
      </c>
      <c r="C225" s="1">
        <v>0.79</v>
      </c>
      <c r="D225" s="1">
        <v>0.8</v>
      </c>
      <c r="E225" s="1">
        <v>0.78</v>
      </c>
      <c r="F225" s="1">
        <v>0.77</v>
      </c>
      <c r="G225" s="1">
        <v>0.82</v>
      </c>
      <c r="H225" s="1">
        <v>0.95</v>
      </c>
      <c r="I225" s="1">
        <v>0.89</v>
      </c>
      <c r="J225" s="1">
        <v>0.82</v>
      </c>
      <c r="K225" s="1">
        <v>0.74</v>
      </c>
      <c r="L225" s="1">
        <v>0.67</v>
      </c>
      <c r="M225" s="1">
        <v>0.63</v>
      </c>
      <c r="N225" s="1">
        <f t="shared" si="8"/>
        <v>0.79250000000000009</v>
      </c>
    </row>
    <row r="226" spans="1:18" x14ac:dyDescent="0.25">
      <c r="A226" s="11">
        <v>2016</v>
      </c>
      <c r="B226" s="1">
        <v>0.64</v>
      </c>
      <c r="C226" s="1">
        <v>0.64</v>
      </c>
      <c r="D226" s="1">
        <v>0.65</v>
      </c>
      <c r="E226" s="1">
        <v>0.63</v>
      </c>
      <c r="F226" s="1">
        <v>0.64</v>
      </c>
      <c r="G226" s="1">
        <v>0.64</v>
      </c>
      <c r="H226" s="1">
        <v>0.64</v>
      </c>
      <c r="I226" s="1">
        <v>0.64</v>
      </c>
      <c r="J226" s="1">
        <v>0.64</v>
      </c>
      <c r="K226" s="1">
        <v>0.61</v>
      </c>
      <c r="L226" s="1">
        <v>0.61</v>
      </c>
      <c r="M226" s="1">
        <v>0.6</v>
      </c>
      <c r="N226" s="1">
        <f t="shared" si="8"/>
        <v>0.63166666666666671</v>
      </c>
    </row>
    <row r="227" spans="1:18" x14ac:dyDescent="0.25">
      <c r="A227" s="11">
        <v>2017</v>
      </c>
      <c r="B227" s="2">
        <v>0.6</v>
      </c>
      <c r="C227" s="2">
        <v>0.6</v>
      </c>
      <c r="D227" s="2">
        <v>0.6</v>
      </c>
      <c r="E227" s="2">
        <v>0.6</v>
      </c>
      <c r="F227" s="2">
        <v>0.6</v>
      </c>
      <c r="G227" s="2">
        <v>0.61</v>
      </c>
      <c r="H227" s="2">
        <v>0.61</v>
      </c>
      <c r="I227" s="2">
        <v>0.6</v>
      </c>
      <c r="J227" s="2">
        <v>0.61</v>
      </c>
      <c r="K227" s="2">
        <v>0.61</v>
      </c>
      <c r="L227" s="2">
        <v>0.6</v>
      </c>
      <c r="M227" s="2">
        <v>0.59</v>
      </c>
      <c r="N227" s="2">
        <f t="shared" si="8"/>
        <v>0.60249999999999992</v>
      </c>
    </row>
    <row r="228" spans="1:18" x14ac:dyDescent="0.25">
      <c r="A228" s="11">
        <v>2018</v>
      </c>
      <c r="B228" s="2">
        <v>0.59</v>
      </c>
      <c r="C228" s="2">
        <v>0.6</v>
      </c>
      <c r="D228" s="2">
        <v>0.59</v>
      </c>
      <c r="E228" s="2">
        <v>0.59</v>
      </c>
      <c r="F228" s="2">
        <v>0.59</v>
      </c>
      <c r="G228" s="2">
        <v>0.59</v>
      </c>
      <c r="H228" s="2">
        <v>0.59</v>
      </c>
      <c r="I228" s="2">
        <v>0.59</v>
      </c>
      <c r="J228" s="2">
        <v>0.59</v>
      </c>
      <c r="K228" s="2">
        <v>0.6</v>
      </c>
      <c r="L228" s="2">
        <v>0.6</v>
      </c>
      <c r="M228" s="2">
        <v>0.59</v>
      </c>
      <c r="N228" s="2">
        <f>AVERAGE(B228:M228)</f>
        <v>0.59249999999999992</v>
      </c>
    </row>
    <row r="229" spans="1:18" x14ac:dyDescent="0.25">
      <c r="A229" s="11">
        <v>2019</v>
      </c>
      <c r="B229" s="2">
        <v>0.59</v>
      </c>
      <c r="C229" s="2">
        <v>0.59</v>
      </c>
      <c r="D229" s="2">
        <v>0.59</v>
      </c>
      <c r="E229" s="2">
        <v>0.57999999999999996</v>
      </c>
      <c r="F229" s="2">
        <v>0.57999999999999996</v>
      </c>
      <c r="G229" s="2">
        <v>0.57999999999999996</v>
      </c>
      <c r="H229" s="2">
        <v>0.57999999999999996</v>
      </c>
      <c r="I229" s="2">
        <v>0.57999999999999996</v>
      </c>
      <c r="J229" s="2">
        <v>0.57999999999999996</v>
      </c>
      <c r="K229" s="2">
        <v>0.68</v>
      </c>
      <c r="L229" s="2">
        <v>0.63</v>
      </c>
      <c r="M229" s="2">
        <v>0.59</v>
      </c>
      <c r="N229" s="2">
        <f>AVERAGE(B229:M229)</f>
        <v>0.59583333333333333</v>
      </c>
    </row>
    <row r="230" spans="1:18" x14ac:dyDescent="0.25">
      <c r="A230" s="11">
        <v>2020</v>
      </c>
      <c r="B230" s="2">
        <v>0.57999999999999996</v>
      </c>
      <c r="C230" s="2">
        <v>0.57999999999999996</v>
      </c>
      <c r="D230" s="2">
        <v>0.6</v>
      </c>
      <c r="E230" s="2">
        <v>0.69</v>
      </c>
      <c r="F230" s="2">
        <v>0.74</v>
      </c>
      <c r="G230" s="2">
        <v>0.84</v>
      </c>
      <c r="H230" s="2">
        <v>0.79</v>
      </c>
      <c r="I230" s="2">
        <v>0.66</v>
      </c>
      <c r="J230" s="2">
        <v>0.67</v>
      </c>
      <c r="K230" s="2">
        <v>0.66</v>
      </c>
      <c r="L230" s="2">
        <v>0.65000000000000047</v>
      </c>
      <c r="M230" s="2">
        <v>0.64</v>
      </c>
      <c r="N230" s="2">
        <f>AVERAGE(B230:M230)</f>
        <v>0.67499999999999993</v>
      </c>
    </row>
    <row r="231" spans="1:18" x14ac:dyDescent="0.25">
      <c r="A231" s="11">
        <v>2021</v>
      </c>
      <c r="B231" s="20">
        <v>0.66</v>
      </c>
      <c r="C231" s="22">
        <v>0.65</v>
      </c>
      <c r="D231" s="24">
        <v>0.66</v>
      </c>
      <c r="E231" s="26">
        <v>0.67</v>
      </c>
      <c r="L231" s="18"/>
      <c r="M231" s="18"/>
      <c r="N231" s="20">
        <f>AVERAGE(B231:M231)</f>
        <v>0.66</v>
      </c>
    </row>
    <row r="232" spans="1:18" x14ac:dyDescent="0.25">
      <c r="L232" s="18"/>
      <c r="M232" s="18"/>
    </row>
    <row r="233" spans="1:18" ht="18" x14ac:dyDescent="0.25">
      <c r="A233" s="27" t="s">
        <v>28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7"/>
      <c r="P233" s="7"/>
      <c r="Q233" s="7"/>
      <c r="R233" s="7"/>
    </row>
    <row r="234" spans="1:18" x14ac:dyDescent="0.25">
      <c r="A234" s="11" t="s">
        <v>20</v>
      </c>
      <c r="B234" s="1" t="s">
        <v>7</v>
      </c>
      <c r="C234" s="1" t="s">
        <v>8</v>
      </c>
      <c r="D234" s="1" t="s">
        <v>9</v>
      </c>
      <c r="E234" s="1" t="s">
        <v>10</v>
      </c>
      <c r="F234" s="1" t="s">
        <v>11</v>
      </c>
      <c r="G234" s="1" t="s">
        <v>12</v>
      </c>
      <c r="H234" s="1" t="s">
        <v>13</v>
      </c>
      <c r="I234" s="1" t="s">
        <v>14</v>
      </c>
      <c r="J234" s="1" t="s">
        <v>15</v>
      </c>
      <c r="K234" s="1" t="s">
        <v>16</v>
      </c>
      <c r="L234" s="1" t="s">
        <v>17</v>
      </c>
      <c r="M234" s="1" t="s">
        <v>18</v>
      </c>
      <c r="N234" s="8" t="s">
        <v>19</v>
      </c>
    </row>
    <row r="235" spans="1:18" x14ac:dyDescent="0.25">
      <c r="A235" s="11">
        <v>2001</v>
      </c>
      <c r="B235" s="1">
        <f>264.36/8.75</f>
        <v>30.21257142857143</v>
      </c>
      <c r="C235" s="1">
        <f>269.38/8.75</f>
        <v>30.786285714285714</v>
      </c>
      <c r="D235" s="1">
        <f>259.86/8.75</f>
        <v>29.698285714285717</v>
      </c>
      <c r="E235" s="1">
        <f>251.87/8.75</f>
        <v>28.785142857142858</v>
      </c>
      <c r="F235" s="1">
        <f>238.94/8.75</f>
        <v>27.30742857142857</v>
      </c>
      <c r="G235" s="1">
        <f>247.16/8.75</f>
        <v>28.246857142857142</v>
      </c>
      <c r="H235" s="1">
        <f>271.37/8.75</f>
        <v>31.013714285714286</v>
      </c>
      <c r="I235" s="1">
        <f>306.19/8.75</f>
        <v>34.993142857142857</v>
      </c>
      <c r="J235" s="1">
        <f>301.25/8.75</f>
        <v>34.428571428571431</v>
      </c>
      <c r="K235" s="1">
        <f>359.06/8.75</f>
        <v>41.035428571428575</v>
      </c>
      <c r="L235" s="1">
        <f>343.06/8.75</f>
        <v>39.206857142857146</v>
      </c>
      <c r="M235" s="1">
        <f>282.28/8.75</f>
        <v>32.260571428571424</v>
      </c>
      <c r="N235" s="1">
        <f t="shared" ref="N235:N251" si="9">AVERAGE(B235:M235)</f>
        <v>32.331238095238099</v>
      </c>
    </row>
    <row r="236" spans="1:18" x14ac:dyDescent="0.25">
      <c r="A236" s="11">
        <v>2002</v>
      </c>
      <c r="B236" s="1">
        <f>286.61/8.75</f>
        <v>32.755428571428574</v>
      </c>
      <c r="C236" s="1">
        <f>288.58/8.75</f>
        <v>32.98057142857143</v>
      </c>
      <c r="D236" s="1">
        <f>291.24/8.75</f>
        <v>33.284571428571432</v>
      </c>
      <c r="E236" s="1">
        <f>289.15/8.75</f>
        <v>33.045714285714283</v>
      </c>
      <c r="F236" s="1">
        <f>292.35/8.75</f>
        <v>33.411428571428573</v>
      </c>
      <c r="G236" s="1">
        <f>300.34/8.75</f>
        <v>34.324571428571424</v>
      </c>
      <c r="H236" s="1">
        <f>288.98/8.75</f>
        <v>33.026285714285713</v>
      </c>
      <c r="I236" s="1">
        <f>268.43/8.75</f>
        <v>30.677714285714288</v>
      </c>
      <c r="J236" s="1">
        <f>249.63/8.75</f>
        <v>28.529142857142858</v>
      </c>
      <c r="K236" s="1">
        <f>265.19/8.75</f>
        <v>30.30742857142857</v>
      </c>
      <c r="L236" s="1">
        <f>246.67/8.75</f>
        <v>28.190857142857141</v>
      </c>
      <c r="M236" s="1">
        <f>225.8/8.75</f>
        <v>25.805714285714288</v>
      </c>
      <c r="N236" s="1">
        <f t="shared" si="9"/>
        <v>31.361619047619048</v>
      </c>
    </row>
    <row r="237" spans="1:18" x14ac:dyDescent="0.25">
      <c r="A237" s="11">
        <v>2003</v>
      </c>
      <c r="B237" s="1">
        <v>25.28</v>
      </c>
      <c r="C237" s="1">
        <v>24.58</v>
      </c>
      <c r="D237" s="1">
        <v>23.32</v>
      </c>
      <c r="E237" s="1">
        <v>23.1</v>
      </c>
      <c r="F237" s="1">
        <v>22.89</v>
      </c>
      <c r="G237" s="1">
        <v>22.77</v>
      </c>
      <c r="H237" s="1">
        <v>22.39</v>
      </c>
      <c r="I237" s="1">
        <v>23.03</v>
      </c>
      <c r="J237" s="1">
        <v>22.25</v>
      </c>
      <c r="K237" s="1">
        <v>27.12</v>
      </c>
      <c r="L237" s="1">
        <v>25.43</v>
      </c>
      <c r="M237" s="1">
        <v>22.57</v>
      </c>
      <c r="N237" s="1">
        <f t="shared" si="9"/>
        <v>23.727499999999996</v>
      </c>
    </row>
    <row r="238" spans="1:18" x14ac:dyDescent="0.25">
      <c r="A238" s="11">
        <v>2004</v>
      </c>
      <c r="B238" s="1">
        <v>23.13</v>
      </c>
      <c r="C238" s="1">
        <v>23.62</v>
      </c>
      <c r="D238" s="1">
        <v>25.58</v>
      </c>
      <c r="E238" s="1">
        <v>30.89</v>
      </c>
      <c r="F238" s="1">
        <v>32.28</v>
      </c>
      <c r="G238" s="1">
        <v>34.86</v>
      </c>
      <c r="H238" s="1">
        <v>42.23</v>
      </c>
      <c r="I238" s="1">
        <v>38.049999999999997</v>
      </c>
      <c r="J238" s="1">
        <v>46.4</v>
      </c>
      <c r="K238" s="1">
        <v>52.96</v>
      </c>
      <c r="L238" s="1">
        <v>37.9</v>
      </c>
      <c r="M238" s="1">
        <v>33.08</v>
      </c>
      <c r="N238" s="1">
        <f t="shared" si="9"/>
        <v>35.081666666666656</v>
      </c>
    </row>
    <row r="239" spans="1:18" x14ac:dyDescent="0.25">
      <c r="A239" s="11">
        <v>2005</v>
      </c>
      <c r="B239" s="1">
        <v>40.880000000000003</v>
      </c>
      <c r="C239" s="1">
        <v>38.5</v>
      </c>
      <c r="D239" s="1">
        <v>39.43</v>
      </c>
      <c r="E239" s="1">
        <v>44.76</v>
      </c>
      <c r="F239" s="1">
        <v>44.3</v>
      </c>
      <c r="G239" s="1">
        <v>45.07</v>
      </c>
      <c r="H239" s="1">
        <v>41.1</v>
      </c>
      <c r="I239" s="1">
        <v>36.950000000000003</v>
      </c>
      <c r="J239" s="1">
        <v>36.549999999999997</v>
      </c>
      <c r="K239" s="1">
        <v>44.08</v>
      </c>
      <c r="L239" s="1">
        <v>38.43</v>
      </c>
      <c r="M239" s="1">
        <v>36.450000000000003</v>
      </c>
      <c r="N239" s="1">
        <f t="shared" si="9"/>
        <v>40.541666666666664</v>
      </c>
    </row>
    <row r="240" spans="1:18" x14ac:dyDescent="0.25">
      <c r="A240" s="11">
        <v>2006</v>
      </c>
      <c r="B240" s="1">
        <v>36.75</v>
      </c>
      <c r="C240" s="1">
        <v>36.43</v>
      </c>
      <c r="D240" s="1">
        <v>35.799999999999997</v>
      </c>
      <c r="E240" s="1">
        <v>37.369999999999997</v>
      </c>
      <c r="F240" s="1">
        <v>36.36</v>
      </c>
      <c r="G240" s="1">
        <v>36.630000000000003</v>
      </c>
      <c r="H240" s="1">
        <v>35.6</v>
      </c>
      <c r="I240" s="1">
        <v>34.76</v>
      </c>
      <c r="J240" s="1">
        <v>34.89</v>
      </c>
      <c r="K240" s="1">
        <v>35.770000000000003</v>
      </c>
      <c r="L240" s="1">
        <v>34.409999999999997</v>
      </c>
      <c r="M240" s="1">
        <v>34.03</v>
      </c>
      <c r="N240" s="1">
        <f t="shared" si="9"/>
        <v>35.733333333333327</v>
      </c>
    </row>
    <row r="241" spans="1:14" x14ac:dyDescent="0.25">
      <c r="A241" s="11">
        <v>2007</v>
      </c>
      <c r="B241" s="1">
        <v>33.549999999999997</v>
      </c>
      <c r="C241" s="1">
        <v>33.590000000000003</v>
      </c>
      <c r="D241" s="1">
        <v>34.32</v>
      </c>
      <c r="E241" s="1">
        <v>34.31</v>
      </c>
      <c r="F241" s="1">
        <v>34.630000000000003</v>
      </c>
      <c r="G241" s="1">
        <v>38.590000000000003</v>
      </c>
      <c r="H241" s="1">
        <v>39.36</v>
      </c>
      <c r="I241" s="1">
        <v>45.89</v>
      </c>
      <c r="J241" s="1">
        <v>52.06</v>
      </c>
      <c r="K241" s="1">
        <v>69.400000000000006</v>
      </c>
      <c r="L241" s="1">
        <v>83.27</v>
      </c>
      <c r="M241" s="1">
        <v>68.91</v>
      </c>
      <c r="N241" s="1">
        <f t="shared" si="9"/>
        <v>47.323333333333331</v>
      </c>
    </row>
    <row r="242" spans="1:14" x14ac:dyDescent="0.25">
      <c r="A242" s="11">
        <v>2008</v>
      </c>
      <c r="B242" s="1">
        <v>68.290000000000006</v>
      </c>
      <c r="C242" s="1">
        <v>66.61</v>
      </c>
      <c r="D242" s="1">
        <v>63.55</v>
      </c>
      <c r="E242" s="1">
        <v>71.209999999999994</v>
      </c>
      <c r="F242" s="1">
        <v>77.430000000000007</v>
      </c>
      <c r="G242" s="1">
        <v>91.49</v>
      </c>
      <c r="H242" s="1">
        <v>90.43</v>
      </c>
      <c r="I242" s="1">
        <v>81.72</v>
      </c>
      <c r="J242" s="1">
        <v>69.180000000000007</v>
      </c>
      <c r="K242" s="1">
        <v>63.74</v>
      </c>
      <c r="L242" s="1">
        <v>61.58</v>
      </c>
      <c r="M242" s="1">
        <v>56.11</v>
      </c>
      <c r="N242" s="1">
        <f t="shared" si="9"/>
        <v>71.77833333333335</v>
      </c>
    </row>
    <row r="243" spans="1:14" x14ac:dyDescent="0.25">
      <c r="A243" s="11">
        <v>2009</v>
      </c>
      <c r="B243" s="1">
        <v>56.67</v>
      </c>
      <c r="C243" s="1">
        <v>52.41</v>
      </c>
      <c r="D243" s="1">
        <v>49.92</v>
      </c>
      <c r="E243" s="1">
        <v>51.17</v>
      </c>
      <c r="F243" s="1">
        <v>50.84</v>
      </c>
      <c r="G243" s="1">
        <v>47.45</v>
      </c>
      <c r="H243" s="1">
        <v>44.23</v>
      </c>
      <c r="I243" s="1">
        <v>36.61</v>
      </c>
      <c r="J243" s="1">
        <v>35.96</v>
      </c>
      <c r="K243" s="1">
        <v>34.46</v>
      </c>
      <c r="L243" s="1">
        <v>35.950000000000003</v>
      </c>
      <c r="M243" s="1">
        <v>35.71</v>
      </c>
      <c r="N243" s="1">
        <f t="shared" si="9"/>
        <v>44.281666666666666</v>
      </c>
    </row>
    <row r="244" spans="1:14" x14ac:dyDescent="0.25">
      <c r="A244" s="11">
        <v>2010</v>
      </c>
      <c r="B244" s="1">
        <v>36.22</v>
      </c>
      <c r="C244" s="1">
        <v>36.42</v>
      </c>
      <c r="D244" s="1">
        <v>36.590000000000003</v>
      </c>
      <c r="E244" s="1">
        <v>40.49</v>
      </c>
      <c r="F244" s="1">
        <v>40.25</v>
      </c>
      <c r="G244" s="1">
        <v>43.89</v>
      </c>
      <c r="H244" s="1">
        <v>45.27</v>
      </c>
      <c r="I244" s="1">
        <v>56.25</v>
      </c>
      <c r="J244" s="1">
        <v>80.86</v>
      </c>
      <c r="K244" s="1">
        <v>102.76</v>
      </c>
      <c r="L244" s="1">
        <v>102.19</v>
      </c>
      <c r="M244" s="1">
        <v>93.87</v>
      </c>
      <c r="N244" s="1">
        <f t="shared" si="9"/>
        <v>59.588333333333338</v>
      </c>
    </row>
    <row r="245" spans="1:14" x14ac:dyDescent="0.25">
      <c r="A245" s="11">
        <v>2011</v>
      </c>
      <c r="B245" s="1">
        <v>106.75</v>
      </c>
      <c r="C245" s="1">
        <v>106.75</v>
      </c>
      <c r="D245" s="1">
        <v>96.07</v>
      </c>
      <c r="E245" s="1">
        <v>96.33</v>
      </c>
      <c r="F245" s="1">
        <v>102.18</v>
      </c>
      <c r="G245" s="1">
        <v>105.67</v>
      </c>
      <c r="H245" s="1">
        <v>102.12</v>
      </c>
      <c r="I245" s="1">
        <v>72.849999999999994</v>
      </c>
      <c r="J245" s="1">
        <v>66.349999999999994</v>
      </c>
      <c r="K245" s="1">
        <v>64.13</v>
      </c>
      <c r="L245" s="1">
        <v>60.41</v>
      </c>
      <c r="M245" s="1">
        <v>51.74</v>
      </c>
      <c r="N245" s="1">
        <f t="shared" si="9"/>
        <v>85.945833333333326</v>
      </c>
    </row>
    <row r="246" spans="1:14" x14ac:dyDescent="0.25">
      <c r="A246" s="11">
        <v>2012</v>
      </c>
      <c r="B246" s="1">
        <v>51.35</v>
      </c>
      <c r="C246" s="1">
        <v>50.81</v>
      </c>
      <c r="D246" s="1">
        <v>49.5</v>
      </c>
      <c r="E246" s="1">
        <v>60.28</v>
      </c>
      <c r="F246" s="1">
        <v>52.37</v>
      </c>
      <c r="G246" s="1">
        <v>51.04</v>
      </c>
      <c r="H246" s="1">
        <v>46.06</v>
      </c>
      <c r="I246" s="1">
        <v>46.04</v>
      </c>
      <c r="J246" s="1">
        <v>45.21</v>
      </c>
      <c r="K246" s="1">
        <v>41.62</v>
      </c>
      <c r="L246" s="1">
        <v>35.61</v>
      </c>
      <c r="M246" s="1">
        <v>33.18</v>
      </c>
      <c r="N246" s="1">
        <f t="shared" si="9"/>
        <v>46.922499999999992</v>
      </c>
    </row>
    <row r="247" spans="1:14" x14ac:dyDescent="0.25">
      <c r="A247" s="11">
        <v>2013</v>
      </c>
      <c r="B247" s="1">
        <v>32.380000000000003</v>
      </c>
      <c r="C247" s="1">
        <v>32.700000000000003</v>
      </c>
      <c r="D247" s="1">
        <v>32.58</v>
      </c>
      <c r="E247" s="1">
        <v>32.51</v>
      </c>
      <c r="F247" s="1">
        <v>30.76</v>
      </c>
      <c r="G247" s="1">
        <v>29.07</v>
      </c>
      <c r="H247" s="1">
        <v>30.38</v>
      </c>
      <c r="I247" s="1">
        <v>28.81</v>
      </c>
      <c r="J247" s="1">
        <v>31.29</v>
      </c>
      <c r="K247" s="1">
        <v>31.82</v>
      </c>
      <c r="L247" s="1">
        <v>31.41</v>
      </c>
      <c r="M247" s="1">
        <v>29.91</v>
      </c>
      <c r="N247" s="1">
        <f t="shared" si="9"/>
        <v>31.135000000000005</v>
      </c>
    </row>
    <row r="248" spans="1:14" x14ac:dyDescent="0.25">
      <c r="A248" s="11">
        <v>2014</v>
      </c>
      <c r="B248" s="1">
        <v>31.29</v>
      </c>
      <c r="C248" s="1">
        <v>38.159999999999997</v>
      </c>
      <c r="D248" s="1">
        <v>43.1</v>
      </c>
      <c r="E248" s="1">
        <v>52.65</v>
      </c>
      <c r="F248" s="1">
        <v>64.150000000000006</v>
      </c>
      <c r="G248" s="1">
        <v>70.790000000000006</v>
      </c>
      <c r="H248" s="1">
        <v>96.96</v>
      </c>
      <c r="I248" s="1">
        <v>111.7</v>
      </c>
      <c r="J248" s="1">
        <v>110.14</v>
      </c>
      <c r="K248" s="1">
        <v>123.76</v>
      </c>
      <c r="L248" s="1">
        <v>67.44</v>
      </c>
      <c r="M248" s="1">
        <v>54.35</v>
      </c>
      <c r="N248" s="1">
        <f t="shared" si="9"/>
        <v>72.040833333333325</v>
      </c>
    </row>
    <row r="249" spans="1:14" x14ac:dyDescent="0.25">
      <c r="A249" s="11">
        <v>2015</v>
      </c>
      <c r="B249" s="1">
        <v>71.06</v>
      </c>
      <c r="C249" s="1">
        <v>67</v>
      </c>
      <c r="D249" s="1">
        <v>71.900000000000006</v>
      </c>
      <c r="E249" s="1">
        <v>69.22</v>
      </c>
      <c r="F249" s="1">
        <v>69.52</v>
      </c>
      <c r="G249" s="1">
        <v>72.819999999999993</v>
      </c>
      <c r="H249" s="1">
        <v>86.99</v>
      </c>
      <c r="I249" s="1">
        <v>81.39</v>
      </c>
      <c r="J249" s="1">
        <v>74.56</v>
      </c>
      <c r="K249" s="1">
        <v>63.33</v>
      </c>
      <c r="L249" s="1">
        <v>52.54</v>
      </c>
      <c r="M249" s="1">
        <v>51.01</v>
      </c>
      <c r="N249" s="1">
        <f t="shared" si="9"/>
        <v>69.278333333333336</v>
      </c>
    </row>
    <row r="250" spans="1:14" x14ac:dyDescent="0.25">
      <c r="A250" s="11">
        <v>2016</v>
      </c>
      <c r="B250" s="1">
        <v>53.69</v>
      </c>
      <c r="C250" s="1">
        <v>52.5</v>
      </c>
      <c r="D250" s="1">
        <v>55.46</v>
      </c>
      <c r="E250" s="1">
        <v>53.86</v>
      </c>
      <c r="F250" s="1">
        <v>53.03</v>
      </c>
      <c r="G250" s="1">
        <v>52.79</v>
      </c>
      <c r="H250" s="1">
        <v>50.85</v>
      </c>
      <c r="I250" s="1">
        <v>53.81</v>
      </c>
      <c r="J250" s="1">
        <v>51.93</v>
      </c>
      <c r="K250" s="1">
        <v>50.87</v>
      </c>
      <c r="L250" s="1">
        <v>52.18</v>
      </c>
      <c r="M250" s="1">
        <v>49.08</v>
      </c>
      <c r="N250" s="1">
        <f t="shared" si="9"/>
        <v>52.504166666666663</v>
      </c>
    </row>
    <row r="251" spans="1:14" x14ac:dyDescent="0.25">
      <c r="A251" s="11">
        <v>2017</v>
      </c>
      <c r="B251" s="2">
        <v>49.03</v>
      </c>
      <c r="C251" s="2">
        <v>50.08</v>
      </c>
      <c r="D251" s="2">
        <v>50.6</v>
      </c>
      <c r="E251" s="2">
        <v>50.7</v>
      </c>
      <c r="F251" s="2">
        <v>51.22</v>
      </c>
      <c r="G251" s="2">
        <v>51.11</v>
      </c>
      <c r="H251" s="2">
        <v>54.42</v>
      </c>
      <c r="I251" s="2">
        <v>50.46</v>
      </c>
      <c r="J251" s="2">
        <v>49.44</v>
      </c>
      <c r="K251" s="2">
        <v>51.88</v>
      </c>
      <c r="L251" s="2">
        <v>49.78</v>
      </c>
      <c r="M251" s="2">
        <v>46.63</v>
      </c>
      <c r="N251" s="2">
        <f t="shared" si="9"/>
        <v>50.445833333333333</v>
      </c>
    </row>
    <row r="252" spans="1:14" x14ac:dyDescent="0.25">
      <c r="A252" s="11">
        <v>2018</v>
      </c>
      <c r="B252" s="2">
        <v>47.94</v>
      </c>
      <c r="C252" s="2">
        <v>49.06</v>
      </c>
      <c r="D252" s="2">
        <v>48.83</v>
      </c>
      <c r="E252" s="2">
        <v>49.82</v>
      </c>
      <c r="F252" s="2">
        <v>49.35</v>
      </c>
      <c r="G252" s="2">
        <v>51.19</v>
      </c>
      <c r="H252" s="2">
        <v>52.01</v>
      </c>
      <c r="I252" s="2">
        <v>52.47</v>
      </c>
      <c r="J252" s="2">
        <v>52.31</v>
      </c>
      <c r="K252" s="2">
        <v>53.66</v>
      </c>
      <c r="L252" s="2">
        <v>51.71</v>
      </c>
      <c r="M252" s="2">
        <v>47.02</v>
      </c>
      <c r="N252" s="2">
        <f>AVERAGE(B252:M252)</f>
        <v>50.447499999999998</v>
      </c>
    </row>
    <row r="253" spans="1:14" x14ac:dyDescent="0.25">
      <c r="A253" s="11">
        <v>2019</v>
      </c>
      <c r="B253" s="2">
        <v>47.89</v>
      </c>
      <c r="C253" s="2">
        <v>48.28</v>
      </c>
      <c r="D253" s="2">
        <v>48.28</v>
      </c>
      <c r="E253" s="2">
        <v>46.04</v>
      </c>
      <c r="F253" s="2">
        <v>48.38</v>
      </c>
      <c r="G253" s="2">
        <v>48.49</v>
      </c>
      <c r="H253" s="2">
        <v>48.45</v>
      </c>
      <c r="I253" s="2">
        <v>49.13</v>
      </c>
      <c r="J253" s="2">
        <v>51.6</v>
      </c>
      <c r="K253" s="2">
        <v>61.95</v>
      </c>
      <c r="L253" s="2">
        <v>52.13</v>
      </c>
      <c r="M253" s="2">
        <v>47.1</v>
      </c>
      <c r="N253" s="2">
        <f>AVERAGE(B253:M253)</f>
        <v>49.81</v>
      </c>
    </row>
    <row r="254" spans="1:14" x14ac:dyDescent="0.25">
      <c r="A254" s="11">
        <v>2020</v>
      </c>
      <c r="B254" s="2">
        <v>45.6</v>
      </c>
      <c r="C254" s="2">
        <v>45.97</v>
      </c>
      <c r="D254" s="2">
        <v>49.41</v>
      </c>
      <c r="E254" s="2">
        <v>62.72</v>
      </c>
      <c r="F254" s="2">
        <v>68.489999999999995</v>
      </c>
      <c r="G254" s="2">
        <v>77.430000000000007</v>
      </c>
      <c r="H254" s="2">
        <v>71.040000000000006</v>
      </c>
      <c r="I254" s="2">
        <v>54.03</v>
      </c>
      <c r="J254" s="2">
        <v>55.16</v>
      </c>
      <c r="K254" s="2">
        <v>52.98</v>
      </c>
      <c r="L254" s="2">
        <v>48.87</v>
      </c>
      <c r="M254" s="2">
        <v>47.6</v>
      </c>
      <c r="N254" s="2">
        <f>AVERAGE(B254:M254)</f>
        <v>56.608333333333341</v>
      </c>
    </row>
    <row r="255" spans="1:14" x14ac:dyDescent="0.25">
      <c r="A255" s="11">
        <v>2021</v>
      </c>
      <c r="B255" s="19">
        <v>57.15</v>
      </c>
      <c r="C255" s="21">
        <v>54.44</v>
      </c>
      <c r="D255" s="23">
        <v>52.48</v>
      </c>
      <c r="E255" s="25">
        <v>49.53</v>
      </c>
      <c r="L255" s="18"/>
      <c r="M255" s="18"/>
      <c r="N255" s="19">
        <f>AVERAGE(B255:M255)</f>
        <v>53.4</v>
      </c>
    </row>
    <row r="256" spans="1:14" x14ac:dyDescent="0.25">
      <c r="A256" s="11"/>
      <c r="L256" s="18"/>
      <c r="M256" s="18"/>
    </row>
    <row r="257" spans="1:1" ht="18.75" x14ac:dyDescent="0.3">
      <c r="A257" s="15" t="s">
        <v>31</v>
      </c>
    </row>
  </sheetData>
  <mergeCells count="23">
    <mergeCell ref="A59:N59"/>
    <mergeCell ref="A10:N10"/>
    <mergeCell ref="A11:N11"/>
    <mergeCell ref="A2:N2"/>
    <mergeCell ref="A3:N3"/>
    <mergeCell ref="A35:N35"/>
    <mergeCell ref="A4:N4"/>
    <mergeCell ref="A5:N5"/>
    <mergeCell ref="A6:N6"/>
    <mergeCell ref="A7:N7"/>
    <mergeCell ref="A8:N8"/>
    <mergeCell ref="A9:N9"/>
    <mergeCell ref="A60:N60"/>
    <mergeCell ref="A84:N84"/>
    <mergeCell ref="A208:N208"/>
    <mergeCell ref="A209:N209"/>
    <mergeCell ref="A233:N233"/>
    <mergeCell ref="A160:N160"/>
    <mergeCell ref="A184:N184"/>
    <mergeCell ref="A159:N159"/>
    <mergeCell ref="A108:N108"/>
    <mergeCell ref="A109:N109"/>
    <mergeCell ref="A133:N133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3:N29 N76:N78 N66:N75 N114:N127 N138:N151 N213:N227 N237:N251 N40:N53 N162:N178 N186:N202 N89:N102" formulaRange="1"/>
    <ignoredError sqref="C62 L112 F135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2021-05-18T19:30:12Z</dcterms:modified>
</cp:coreProperties>
</file>